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295" windowWidth="15195" windowHeight="8700" tabRatio="599" activeTab="0"/>
  </bookViews>
  <sheets>
    <sheet name="ΚΑΤΑΣΤ. ΠΡΟΣ  ΕΚΠΟΙΗΣ ΑΠΡ 2017 " sheetId="1" r:id="rId1"/>
  </sheets>
  <definedNames>
    <definedName name="_xlnm.Print_Area" localSheetId="0">'ΚΑΤΑΣΤ. ΠΡΟΣ  ΕΚΠΟΙΗΣ ΑΠΡ 2017 '!$A$1:$L$556</definedName>
  </definedNames>
  <calcPr fullCalcOnLoad="1"/>
</workbook>
</file>

<file path=xl/sharedStrings.xml><?xml version="1.0" encoding="utf-8"?>
<sst xmlns="http://schemas.openxmlformats.org/spreadsheetml/2006/main" count="2288" uniqueCount="630">
  <si>
    <t>ΔΙΑΘΕΣΗ ΑΠΟ ΤΟΝ ΧΩΡΟ ΑΠΟΘΗΚΕΥΣΗΣ -ΑΘΗΝΑ  ΠΡΩΗΝ ΑΕΡΟΔΡΟΜΙΟ ΕΛΛΗΝΙΚΟΥ</t>
  </si>
  <si>
    <t xml:space="preserve">ΕΜΠΟΡΕΥΜΑΤΑ( ΠΡΟΪΟΝΤΑ) ΠΡΟΣ ΕΚΠΟΙΗΣΗ-ΔΙΑΘΕΣΗ ΑΠΟ ΤΟΝ ΧΩΡΟ ΑΠΟΘΗΚΕΥΣΗΣ- ΑΘΗΝΑ  ΠΡΩΗΝ ΑΕΡΟΔΡΟΜΙΟ ΕΛΛΗΝΙΚΟΥ </t>
  </si>
  <si>
    <t>ΚΑΦΕ</t>
  </si>
  <si>
    <t xml:space="preserve">ΣΥΝΟΛΟ ΤΕΜΑΧΙΩΝ </t>
  </si>
  <si>
    <t>ΕΡΜΑΡΙΟ ΜΕΣΑΙΟ -ΔΙΦΥΛΛΟ</t>
  </si>
  <si>
    <t xml:space="preserve">ΕΡΜΑΡΙΟ  ΚΟΝΤΟ-ΔΙΦΥΛΛΟ </t>
  </si>
  <si>
    <t xml:space="preserve">ΕΡΜΑΡΙΟ ΜΕΣΑΙΟ -ΔΙΦΥΛΛΟ ΚΕΡΑΣΙΑ </t>
  </si>
  <si>
    <t>ΠΛΑΣΤΙΚΗ</t>
  </si>
  <si>
    <t>ΜΑΥΡΗ</t>
  </si>
  <si>
    <t>ΒΥΣΣΙΝΙ</t>
  </si>
  <si>
    <t xml:space="preserve">ΔΕΡΜΑ </t>
  </si>
  <si>
    <t>ΥΦΑΣΜΑ</t>
  </si>
  <si>
    <t>ΚΑΡΕΚΛΑ ΕΡΓΑΣΙΑΣ ΜΕ ΒΡΑΧΙΟΝΕΣ &amp; ΡΟΔΕΣ</t>
  </si>
  <si>
    <t>ΚΑΡΕΚΛΑ ΕΠΙΣΚΕΠΤΗ ΜΕ ΒΡΑΧΙΟΝΕΣ ΜΕ ΒΑΣΗ</t>
  </si>
  <si>
    <t>ΚΑΡΑΚΛΑ ΕΠΙΣΚΕΠΤΗΜΕ ΒΡΑΧΙΟΝΕΣ ΠΟΔΙΑ INOX</t>
  </si>
  <si>
    <t xml:space="preserve">ΠΟΛΥΘΡΟΝΑ ΣΤΡΟΓΓΥΛΗ ΜΕ ΡΟΔΕΣ </t>
  </si>
  <si>
    <t>ΕΠΙΠΛΩΣΗ ΠΩΛΗΤΗΡΙΟΥ ΣΥΝΑΡΜΟΛΟΓΟΥΜΕΝΗ  (ΒΕΤΡΙΝΕΣ ΤΟΠΟΘΕΤΗΣΗΣ ΕΚΘΕΜΑΤΩΝ .ΝΤΟΥΛΑΠΙΑ ΑΠΟΘΗΚΕΥΣΗΣ, ΒΟΗΘΗΤΙΚΟΙ ΠΑΓΚΟΙ,) ΧΡΩΜΑΤΟΣ ΑΝΟΙΚΤΟ ΚΕΡΑΜΥΔΙ</t>
  </si>
  <si>
    <t xml:space="preserve">ΔΙΑΣΤΑΣΕΙΣ ΣΕ cm </t>
  </si>
  <si>
    <t xml:space="preserve">ΜΕΤΑΛΛΙΚΑ </t>
  </si>
  <si>
    <t xml:space="preserve">ΠΕΡΙΓΡΑΦΗ ΕΙΔΟΣ </t>
  </si>
  <si>
    <t>ΕΡΜΑΡΙΑ ΜΕΓΑΛΑ-ΝΤΟΥΛΑΠΑ -ΔΙΦΥΛΛΑ</t>
  </si>
  <si>
    <t xml:space="preserve">ΡΑΦΙΕΡΑ ΜΕΣΑΙΑ </t>
  </si>
  <si>
    <t xml:space="preserve">ΡΑΦΙΕΡΑ ΜΕΓΑΛΗ  </t>
  </si>
  <si>
    <t>ΣΥΡΤΙΑΡΙΕΡΑ ΓΡΑΦΕΙΟΥ</t>
  </si>
  <si>
    <t>ΝΤΟΥΛΑΠΕΣ</t>
  </si>
  <si>
    <t xml:space="preserve">ΚΑΡΕΚΛΕΣ </t>
  </si>
  <si>
    <t xml:space="preserve"> ΓΡΑΦΕΙΑ </t>
  </si>
  <si>
    <t>ΓΚΡΙ</t>
  </si>
  <si>
    <t>ΠΕΡΙΓΡΑΦΗ ΕΙΔΟΥΣ</t>
  </si>
  <si>
    <t>ΣΕΤ ΓΚΑΡΝΤΑΡΟΜΠΑΣ Δ.Σ (ΣΥΝΑΡΜΟΛΟΓΟΥΜΕΝΗ)</t>
  </si>
  <si>
    <t>ΠΟΛΥΘΡΟΝΕΣ ΜΕ ΜΕΤΑΛΛΙΚΑ ΠΟΔΙΑ</t>
  </si>
  <si>
    <t>ΚΑΝΑΠΕΔΕΣ</t>
  </si>
  <si>
    <t>ΚΑΝΑΠΕΣ ΔΙΘΕΣΙΟΣ ΜΕ ΜΕΤΑΛΛΙΚΟΥΣ ΒΡΑΧΙΟΝΕΣ</t>
  </si>
  <si>
    <t xml:space="preserve">ΚΑΝΑΠΕΣ ΤΡΙΘΕΣΙΟΣ </t>
  </si>
  <si>
    <t>ΚΑΝΑΠΕΣ ΤΡΙΘΕΣΙΟΣ ΜΕ ΜΕΤΑΛΛΙΚΑ ΠΟΔΙΑ ΚΑΙ ΒΡΑΧΙΟΝΕΣ</t>
  </si>
  <si>
    <t>ΕΠΙΠΛΟ  TV</t>
  </si>
  <si>
    <t>ΔΕΡΜΑ</t>
  </si>
  <si>
    <t>ΜΑΥΡΟ</t>
  </si>
  <si>
    <t>ΣΕΤ ΣΑΛΟΝΙΟΥ ( ΚΑΝΑΠΕΣ ΤΡΙΘΕΣΙΟΣ ,ΔΥΟ ΠΟΛΥΘΡΟΝΕΣ)</t>
  </si>
  <si>
    <t>ΣΕΤ ΕΠΙΠΛΩΝ ΥΠΟΔΟΧΗΣ ΧΡΩΜΑΤΟΣ ΠΡΑΣΙΝΟ ΞΥΛΙΝΟ                                                            ( ΝΤΟΥΛΑΠΙΑ ,ΠΑΓΚΟΣ , ΤΡΑΠΕΖΑΚΙ, ΒΙΤΡΙΝΑ )</t>
  </si>
  <si>
    <t>ΝΤΟΥΛΑΠΙ ΚΟΝΤΟ ΞΥΛΙΝΟ</t>
  </si>
  <si>
    <t>ΜΕΤΑΦΟΡΙΚΑ ΜΕΣΑ</t>
  </si>
  <si>
    <t>NZO  5034</t>
  </si>
  <si>
    <t>FORD  MONDEO                     1999cc   ΧΡΩΜΑ ΑΣΗΜΙ</t>
  </si>
  <si>
    <t>ZMB   5784</t>
  </si>
  <si>
    <t>ΛΟΙΠΑ ΕΠΙΠΛΑ &amp; ΕΞΟΠΛΙΣΜΟΣ</t>
  </si>
  <si>
    <t>ΤΡΑΠΕΖΙ ΣΥΣΚΕΨ. "FI" 120 KEΡ. SATO</t>
  </si>
  <si>
    <t>ΤΡΑΠΕΖΙ ΣΥΜ."FI"( 200Χ100) ΚΕΡ. SATO</t>
  </si>
  <si>
    <t>ΚΑΘΙΣΜΑ "FI-DEL" Δ/ΝΤΗ ΔΕΡΜΑΤΙΝΟ SATO</t>
  </si>
  <si>
    <t>ΣΥΡΤΑΡΙΕΡΑ "FI" ΑΣΗΜΙ .Χ.Β SATO</t>
  </si>
  <si>
    <t xml:space="preserve"> ΕΡΜΑΡΙΑ "FILOS"(80X70) ΜΕΤΑΛ. SATO</t>
  </si>
  <si>
    <t xml:space="preserve"> ΜΕΤΑΛΙΚΑ  ΡΑΦΙΑ "FELLOW"</t>
  </si>
  <si>
    <t>ΒΙΒΛΙΟΘΗΚΕΣ (80Χ160)ΑΣΗΜΙ SATO</t>
  </si>
  <si>
    <t xml:space="preserve"> ΚΑΘΙΣΜΑΤΑ ΤΥΠΟΥ "F-DEL"  SATO ΔΕΡΜΑΤΙΝΑ</t>
  </si>
  <si>
    <t xml:space="preserve"> ΚΑΘΙΣΜΑΤΑ TYΠOY "MODY" SATO  ΜΑΥΡΑ</t>
  </si>
  <si>
    <t>ΚΑΝΑΠΕΣ "CAMALEONTE" SATO</t>
  </si>
  <si>
    <t>ΣΥΡΤΑΡΙΕΡΕΣ "FI"ΤΡ. ΑΣΗΜΙ SATO</t>
  </si>
  <si>
    <t>ΕΡΜΑΡΙΑ ΞΥΛΙΝΑ SATO</t>
  </si>
  <si>
    <t xml:space="preserve">ΚΑΘΙΣΜΑΤΑ ΕΡΓΑΣΙΑΣ </t>
  </si>
  <si>
    <t>ΠΑΓΚΟΙ ΕΡΓΑΣΙΑΣ ΤΕΜΑΧ.</t>
  </si>
  <si>
    <t xml:space="preserve">ΚΑΘΙΣΜΑΤΑ ΕΡΓΑΣΙΑΣ ΤΥΠΟΥ  "SATOLI"  </t>
  </si>
  <si>
    <t>ΒΙΒΛΙΟΘΗΚΗ ΑΡΧΕΙΟΥ</t>
  </si>
  <si>
    <t>ΔΙΑΧΩΡΙΣΤΙΚΑ ΓΡΑΦΕΙΟΥ ΤΕΜ 5   SATO</t>
  </si>
  <si>
    <t>ΤΗΛΕΠΙΚΟΙΝΩΝΙΑΚΟ ΚΕΝΤΡΟ "ALKATEL"</t>
  </si>
  <si>
    <t>ΑΝΤΙΗΛΙΑΚΑ STOR "ABNTINI"25Χ188</t>
  </si>
  <si>
    <t>80χ140</t>
  </si>
  <si>
    <t>80χ160</t>
  </si>
  <si>
    <t>80χ120</t>
  </si>
  <si>
    <t>60χ80</t>
  </si>
  <si>
    <t>80x140</t>
  </si>
  <si>
    <t>80x160</t>
  </si>
  <si>
    <t>60x120</t>
  </si>
  <si>
    <t>80x200</t>
  </si>
  <si>
    <t>500χ180</t>
  </si>
  <si>
    <t>διαμετρου 120cm</t>
  </si>
  <si>
    <t>ΣΕΤ ΕΠΙΠΛΩΝ ΔΙΟΙΚΗΣΗΣ                                                                                                                       ( ΓΡΑΦΕΙΟ,ΕΡΜΑΡΙΟ,ΓΩΝΙΑ ΓΡΑΦΕΙΟΥ, ΒΟΗΘΗΤΙΚΟΣ ΠΑΓΚΟΣ, ΣΥΡΤΑΡΙΕΡΑ)</t>
  </si>
  <si>
    <t xml:space="preserve"> ΞΥΛΙΝΟ ΤΡΑΠΕΖΑΚΙ </t>
  </si>
  <si>
    <t>ΓΡΑΦΕΙΑ</t>
  </si>
  <si>
    <t xml:space="preserve">ΓΡΑΦΕΙΑ   ΞΥΛΙΝO ΜΕ ΜΕΤΑΛΛΙΚΑ ΠΟΔΙΑ ΧΩΡΙΣ ΓΩΝΙΑ  SATO (ΣΥΝΑΡΜΟΛΟΓΟΎΜΕΝΟ) </t>
  </si>
  <si>
    <t>ΓΡΑΦΕΙΟ ΞΥΛΙΝΟ</t>
  </si>
  <si>
    <t xml:space="preserve"> ΓΡΑΦΕΙΟ (ΤΡΑΠΕΖΑΚΙ) ΞΥΛΙΝΟ</t>
  </si>
  <si>
    <t xml:space="preserve">ΤΡΑΠΕΖΙ ΡΟΤΟΝΤΑ ΜΕ  ΜΕΤΑΛΛΙΚΗ ΒΑΣΗ &amp; ΓΥΑΛΙΝΟ ΚΑΠΑΚΙ </t>
  </si>
  <si>
    <t>ΤΡΑΠΕΖΙ ΣΥΝΕΔΡΙΑΣΕΩΝ  ΤΥΠΟΥ "ΚΡΟΝΟΣ"  ΞΥΛΙΝΟ</t>
  </si>
  <si>
    <t xml:space="preserve">ΤΕΜΑΧΙΑ </t>
  </si>
  <si>
    <t>ΧΡΩΜΑΤΟΣ ΚΑΦΕ</t>
  </si>
  <si>
    <t>ΧΡΩΜΑΤΟΣ ΓΚΡΙ</t>
  </si>
  <si>
    <t xml:space="preserve"> ΧΡΩΜΑΤΟΣ ΓΚΡΙ</t>
  </si>
  <si>
    <t xml:space="preserve">ΣΥΝΟΛΟ </t>
  </si>
  <si>
    <t>ΞΥΛΟ ΟΞΥΑ</t>
  </si>
  <si>
    <t>ΞΥΛΟ ΚΕΡΑΣΙΑ</t>
  </si>
  <si>
    <t>ΜΕΤΑΛΛΙΚΕΣ</t>
  </si>
  <si>
    <t>ΣΥΝΟΛΟ</t>
  </si>
  <si>
    <t xml:space="preserve"> ΕΠΙΠΛΑ  ΚΑΙ ΛΟΙΠΟΣ ΕΞΟΠΛΙΣΜΟΣ ΤΗΣ ΥΠΟ ΕΚΚΑΘΑΡΙΣΗ "ΟΠΕΠ ΑΕ "ΠΡΟΣ ΕΚΠΟΙΗΣΗ                                                                                                                                                                              </t>
  </si>
  <si>
    <t>ΕΠΙΠΛΩΣΗ ΓΡΑΦΕΙΟΥ</t>
  </si>
  <si>
    <t>ΣΥΝΟΛΟ ΤΕΜΑΧΙΩΝ</t>
  </si>
  <si>
    <t xml:space="preserve"> ΓΡΑΦΕΙΑ 160χ80  SATO</t>
  </si>
  <si>
    <t xml:space="preserve"> ΓΡΑΦΕΙΑ ΟΞΥΑ"FI"(140X80) SATO</t>
  </si>
  <si>
    <t xml:space="preserve"> ΠΡΟΕΚ/ΣΕΙΣ ΓΡΑΦ."FI" ΟΞΥΑ ΑΡΙΣ. SATO</t>
  </si>
  <si>
    <t xml:space="preserve"> ΠΡΟΕΚ/ΣΕΙΣ ΓΡΑΦ."FI" ΟΞΥΑ ΔΕΞ. SATO</t>
  </si>
  <si>
    <t>Τίτλος  στα Ελληνικά</t>
  </si>
  <si>
    <t>Κόστος Μονάδος χωρίς ΦΠΑ:</t>
  </si>
  <si>
    <t xml:space="preserve">ΣΥΝΟΛΟ ΑΞΙΑΣ ΕΜΠΟΡΕΥΜΑΤΩΝ </t>
  </si>
  <si>
    <t>Πιστά Αντίγραφα</t>
  </si>
  <si>
    <t>Κεραμικά</t>
  </si>
  <si>
    <t>Αντίγραφα</t>
  </si>
  <si>
    <t>ΠΗΛΙΝΟΣ ΔΙΣΚΟΣ ΦΑΙΣΤΟΥ</t>
  </si>
  <si>
    <t>Ειδώλιο</t>
  </si>
  <si>
    <t>ΜΥΚΗΝΑΙΚΟ ΕΙΔΩΛΙΟ ΤΥΠΟΥ Ψ</t>
  </si>
  <si>
    <t>Μεταλλικά</t>
  </si>
  <si>
    <t>ΑΓΑΛΜΑΤΙΟ ΚΟΥΡΟΥ</t>
  </si>
  <si>
    <t>ΑΓΑΛΜΑΤΙΟ ΑΝΤΡΙΚΗΣ ΜΟΡΦΗΣ</t>
  </si>
  <si>
    <t>ΠΡΟΤΟΜΗ ΣΚΥΛΟΥ</t>
  </si>
  <si>
    <t>Κεφαλή</t>
  </si>
  <si>
    <t>ΚΕΦΑΛΙ ΤΟΥ ΗΡΑΚΛΗ ΜΕ ΛΕΟΝΤΗ</t>
  </si>
  <si>
    <t>ΛΥΧΝΟΣ ΣΕ ΣΧΗΜΑ ΠΛΟΙΟΥ</t>
  </si>
  <si>
    <t>Ανάγλυφο</t>
  </si>
  <si>
    <t>ΑΝΑΘΗΜΑΤΙΚΟ ΑΝΑΓΛΥΦΟ ΣΚΕΠΤΟΜΕΝΗ ΑΘΗΝΑ</t>
  </si>
  <si>
    <t>ΑΝΑΓΛΥΦΟ ΜΕ ΠΑΡΑΣΤΑΣΗ ΑΘΗΝΑΪΚΗΣ ΤΡΙΗΡΟΥΣ (ΠΟΛΕΜΙΚΟ ΠΛΟΙΟ)</t>
  </si>
  <si>
    <t>ΘΡΑΥΣΜΑ ΑΝΑΘΗΜΑΤΙΚΟΥ ΑΝΑΓΛΥΦΟΥ ΜΕ ΠΑΡΑΣΤΑΣΗ ΑΣΚΛΗΠΙΟΥ</t>
  </si>
  <si>
    <t>ΚΑΛΥΜΜΑ ΚΑΘΡΕΦΤΗ</t>
  </si>
  <si>
    <t>ΚΕΦΑΛΙ  ΤΗΣ ΥΓΕΙΑΣ (ΑΠΟ ΤΗΝ ΤΕΓΕΑ)</t>
  </si>
  <si>
    <t>ΑΝΑΘΗΜΑΤΙΚΟ ΑΝΑΓΛΥΦΟ (ΠΟΙΗΤΗΣ)</t>
  </si>
  <si>
    <t>ΓΥΝΑΙΚΕΙΟ ΕΙΔΩΛΙΟ</t>
  </si>
  <si>
    <t>ΒΑΣΗ ΚΑΘΡΕΦΤΗ ΜΕ ΓΥΝΑΙΚΕΙΑ ΜΟΡΦΗ</t>
  </si>
  <si>
    <t>Άγαλμα</t>
  </si>
  <si>
    <t>ΑΦΡΟΔΙΤΗ ΠΑΝΩ ΣΕ ΔΕΛΦΙΝΙ</t>
  </si>
  <si>
    <t>ΤΜΗΜΑ ΕΙΔΩΛΙΟΥ ΓΥΝΑΙΚΕΙΑΣ ΜΟΡΦΗΣ, ΙΣΩΣ ΝΙΚΗΣ</t>
  </si>
  <si>
    <t>ΕΙΔΩΛΙΟ ΛΑΓΟΥ</t>
  </si>
  <si>
    <t>ΕΠΙΤΥΜΒΙΑ ΣΤΗΛΗ ΜΕ ΠΑΡΑΣΤΑΣΗ ΨΑΡΑ</t>
  </si>
  <si>
    <t>ΕΙΔΩΛΙΟ ΤΕΛΕΣΦΟΡΟΥ</t>
  </si>
  <si>
    <t>ΣΥΜΠΛΕΓΜΑ  ΕΡΩΤΑ ΚΑΙ ΨΥΧΗΣ</t>
  </si>
  <si>
    <t>ΑΝΑΓΛΥΦΟ ΗΡΩΑ-ΙΠΠΕΑ</t>
  </si>
  <si>
    <t>ΠΥΞΙΔΑ</t>
  </si>
  <si>
    <t>ΚΕΦΑΛΙ ΚΥΚΛΑΔΙΚΟΥ ΕΙΔΩΛΙΟΥ</t>
  </si>
  <si>
    <t>ΕΙΔΩΛΙΟ ΛΑΤΡΗ</t>
  </si>
  <si>
    <t>Τοιχογραφίες</t>
  </si>
  <si>
    <t>ΤΟΙΧΟΓΡΑΦΙΑ ΠΑΡΙΖΙΑΝΑ</t>
  </si>
  <si>
    <t>ΤΟΙΧΟΓΡΑΦΙΑ ΛΕΥΚΟ ΠΕΡΙΣΤΕΡΙ</t>
  </si>
  <si>
    <t>ΤΟΙΧΟΓΡΑΦΙΑ ΠΡΟΤΟΜΗ ΑΦΡΟΔΙΤΗΣ</t>
  </si>
  <si>
    <t>ΤΟΙΧΟΓΡΑΦΙΑ ΧΕΛΙΔΟΝΟΨΑΡΑ</t>
  </si>
  <si>
    <t>Νομίσματα</t>
  </si>
  <si>
    <t>ΑΡΓΥΡΟΣ ΣΤΑΤΗΡΑΣ ΓΟΡΤΥΝΑΣ</t>
  </si>
  <si>
    <t>ΑΡΓΥΡΗ ΔΡΑΧΜΗ ΤΕΝΕΔΟΥ</t>
  </si>
  <si>
    <t>ΑΡΓΥΡΟ ΤΕΤΡΑΔΡΑΧΜΟ - ΚΟΙΝΟΝ ΧΑΛΚΙΔΕΩΝ</t>
  </si>
  <si>
    <t>ΑΡΓΥΡΟΣ ΣΤΑΤΗΡΑΣ ΔΗΛΟΥ</t>
  </si>
  <si>
    <t>ΧΡΥΣΟΣ ΣΤΑΤΗΡΑΣ ΦΙΛΙΠΠΟΥ Β</t>
  </si>
  <si>
    <t>ΧΡΥΣΟΣ ΣΤΑΤΗΡΑΣ ΜΕΓΑΛΟΥ ΑΛΕΞΑΝΔΡΟΥ</t>
  </si>
  <si>
    <t>ΑΡΓΥΡΟΣ ΣΤΑΤΗΡΑΣ ΣΕΡΙΦΟΥ.</t>
  </si>
  <si>
    <t>ΑΡΓΥΡΟΣ ΣΤΑΤΗΡΑΣ ΛΥΤΤΟΥ.</t>
  </si>
  <si>
    <t>ΑΡΓΥΡΟΣ ΣΤΑΤΗΡΑΣ ΑΙΓΙΝΑΣ</t>
  </si>
  <si>
    <t>ΑΡΓΥΡΟΣ ΣΤΑΤΗΡΑΣ ΠΑΡΟΥ</t>
  </si>
  <si>
    <t>ΑΡΓΥΡΗ ΔΡΑΧΜΗ ΣΙΦΝΟΥ</t>
  </si>
  <si>
    <t>ΑΡΓΥΡΟ ΤΕΤΡΑΔΡΑΧΜΟ ΣΑΜΟΥ</t>
  </si>
  <si>
    <t>ΑΡΓΥΡΟΣ ΣΤΑΤΗΡΑΣ ΧΙΟΥ</t>
  </si>
  <si>
    <t>ΑΡΓΥΡΟ ΤΡΙΩΒΟΛΟ ΤΗΝΟΥ</t>
  </si>
  <si>
    <t>ΑΡΓΥΡΟΣ ΣΤΑΤΗΡΑΣ ΚΑΡΠΑΘΟΥ</t>
  </si>
  <si>
    <t>ΑΡΓΥΡΟΣ ΣΤΑΤΗΡΑΣ ΜΗΛΟΥ</t>
  </si>
  <si>
    <t>ΚΥΚΛΑΔΙΚΟ ΕΙΔΩΛΙΟ ΑΥΛΗΤΗ</t>
  </si>
  <si>
    <t>ΤΟΙΧΟΓΡΑΦΙΑ "ΧΕΛΙΔΟΝΙ ΠΟΥ ΠΕΤΑΕΙ"</t>
  </si>
  <si>
    <t>ΤΟΙΧΟΓΡΑΦΙΑ "ΑΓΡΙΟΠΑΠΙΑ"</t>
  </si>
  <si>
    <t>ΑΛΟΓΟ ΚΑΙ ΑΝΑΒΑΤΗΣ</t>
  </si>
  <si>
    <t>ΚΟΡΙΝΘΙΑΚΟΣ ΑΡΥΒΑΛΛΟΣ</t>
  </si>
  <si>
    <t>Κοσμήματα</t>
  </si>
  <si>
    <t>Καρφίτσα</t>
  </si>
  <si>
    <t>ΔΙΠΛΗ ΠΕΡΟΝΗ ΜΕ ΚΕΦΑΛΗ ΡΟΔΑΚΑ
 (ΑΣΗΜΙ ΚΑΙ ΕΠΙΧΡΥΣΩΜΕΝΟ ΑΣΗΜΙ)</t>
  </si>
  <si>
    <t>Περόνη</t>
  </si>
  <si>
    <t>ΔΙΠΛΗ ΠΕΡΟΝΗ ΜΕ ΑΛΥΣΙΔΕΣ (ΑΣΗΜΙ)</t>
  </si>
  <si>
    <t>ΔΙΠΛΗ ΠΕΡΟΝΗ (ΑΣΗΜΙ)</t>
  </si>
  <si>
    <t>Δαχτυλίδι</t>
  </si>
  <si>
    <t>ΔΑΚΤΥΛΙΔΙ ΜΙΚΡΟΓΡΑΦΙΑ ΑΣΗΜΕΝΙΟΥ ΠΡΟΪΣΤΟΡΙΚΟΥ ΒΡΑΧΙΟΛΙΟΥ (ΑΣΗΜΙ)</t>
  </si>
  <si>
    <t>Ζώνη</t>
  </si>
  <si>
    <t>ΖΩΝΗ (ΕΠΙΧΡΥΣΩΜΕΝΟ ΑΣΗΜΙ)</t>
  </si>
  <si>
    <t>ΣΥΜΠΛΕΓΜΑ ΦΟΡΑΔΑΣ - ΠΩΛΟΥ</t>
  </si>
  <si>
    <t>ΙΠΠΟΣ (ΟΡΕΙΧΑΛΚΟΣ)</t>
  </si>
  <si>
    <t>ΠΗΛΙΝΟ ΡΟΔΙ.</t>
  </si>
  <si>
    <t>ΑΡΓΥΡΗ ΔΡΑΧΜΗ ΘΑΣΟΥ.</t>
  </si>
  <si>
    <t>ΑΡΓΥΡΟΣ ΣΤΑΤΗΡΑΣ ΝΑΞΟΥ.</t>
  </si>
  <si>
    <t>ΑΡΓΥΡΟ ΤΕΤΡΑΔΡΑΧΜΟΝ ΡΟΔΟΥ.</t>
  </si>
  <si>
    <t>ΑΡΓΥΡΟΣ ΣΤΑΤΗΡΑΣ ΛΕΣΒΟΥ, ΑΝΤΙΓΡΑΦΟ ΣΕ ΑΣΗΜΙ</t>
  </si>
  <si>
    <t>ΑΡΓΥΡΟΣ ΣΤΑΤΗΡΑΣ ΚΟΡΙΝΘΟΥ.</t>
  </si>
  <si>
    <t>ΑΡΓΥΡΟ GROSSO RANIERI ZENO (ΔΟΓΗΣ ΒΕΝΕΤΙΑΣ).</t>
  </si>
  <si>
    <t>ΑΡΓΥΡΟΣ ΣΤΑΤΗΡΑΣ - ΚΟΙΝΟΝ ΒΟΙΩΤΩΝ</t>
  </si>
  <si>
    <t>ΑΡΓΥΡΟ ΤΡΙΩΒΟΛΟ - ΑΧΑΪΚΗ ΣΥΜΠΟΛΙΤΕΙΑ</t>
  </si>
  <si>
    <t>ΑΡΓΥΡΟ ΤΕΤΡΑΔΡΑΧΜΟ - ΑΙΤΩΛΙΚΗ ΣΥΜΠΟΛΙΤΕΙΑ</t>
  </si>
  <si>
    <t>ΑΡΓΥΡΟ ΗΜΙΣΤΑΤΗΡΟ - ΚΟΙΝΟΝ ΗΠΕΙΡΩΤΩΝ</t>
  </si>
  <si>
    <t>ΑΡΓΥΡΟΣ ΣΤΑΤΗΡΑΣ - ΚΟΙΝΟΝ ΘΕΣΣΑΛΩΝ</t>
  </si>
  <si>
    <t>Περίαπτο</t>
  </si>
  <si>
    <t>ΠΕΡΙΑΠΤΟ (ΑΣΗΜΙ)</t>
  </si>
  <si>
    <t>ΕΙΔΩΛΙΟΣΧΗΜΟ ΠΕΡΙΑΠΤΟ (ΑΣΗΜΙ)</t>
  </si>
  <si>
    <t>ΚΩΜΙΚΟ ΠΡΟΣΩΠΕΙΟ.</t>
  </si>
  <si>
    <t>ΤΡΑΓΙΚΟ ΠΡΟΣΩΠΕΙΟ.</t>
  </si>
  <si>
    <t>Αγγείο</t>
  </si>
  <si>
    <t>ΜΕΛΑΝΟΜΟΡΦΗ ΑΤΤΙΚΗ ΛΗΚΥΘΟΣ</t>
  </si>
  <si>
    <t>ΜΕΛΑΜΒΑΦΗΣ ΣΚΥΦΟΣ</t>
  </si>
  <si>
    <t>ΜΕΛΑΜΒΑΦΗΣ ΒΟΙΩΤΙΚΟΣ ΚΑΝΘΑΡΟΣ</t>
  </si>
  <si>
    <t>ΠΕΡΙΑΠΤΟ ΑΛΟΓΑΚΙ (ΟΡΕΙΧΑΛΚΟΣ)</t>
  </si>
  <si>
    <t>ΠΕΡΙΑΠΤΟ ΜΕ ΑΛΟΓΑΚΙ (ΟΡΕΙΧΑΛΚΟΣ)</t>
  </si>
  <si>
    <t>ΠΕΡΙΑΠΤΟ ΜΕ ΑΛΟΓΑΚΙ (ΑΣΗΜΙ)</t>
  </si>
  <si>
    <t>ΔΙΑΤΡΗΤΗ  ΧΑΝΔΡΑ ΑΠΟ ΠΕΡΙΑΠΤΟ (ΟΡΕΙΧΑΛΚΟΣ)</t>
  </si>
  <si>
    <t>ΤΡΕΙΣ ΔΙΑΤΡΗΤΕΣ ΧΑΝΤΡΕΣ(ΕΦΑΡΜΟΓΗ : ΟΡΕΙΧΑΛΚΟΣ- ΑΣΗΜΙ)</t>
  </si>
  <si>
    <t>ΤΟΙΧΟΓΡΑΦΙΑ ΤΗΣ  "ΑΝΟΙΞΗΣ" (ΛΕΠΤΟΜΕΡΕΙΑ).</t>
  </si>
  <si>
    <t>Εφαρμογές</t>
  </si>
  <si>
    <t>Είδη Χαρτιού</t>
  </si>
  <si>
    <t>Αφίσα</t>
  </si>
  <si>
    <t>ΑΦΙΣΑ ΑΠΟ ΤΟΙΧΟΓΡΑΦΙΑ ΜΕ ΠΑΡΑΣΤΑΣΗ 
ΑΡΠΑΓΗΣ ΠΕΡΣΕΦΟΝΗΣ</t>
  </si>
  <si>
    <t>ΑΦΙΣΑ ΑΠΟ ΔΙΑΚΟΣΜΟ ΧΡΥΣΕΛΕΦΑΝΤΙΝΗΣ 
ΚΛΙΝΗΣ ΔΙΟΝΥΣΟΣ, ΑΡΙΑΔΝΗ, ΠΑΝ.</t>
  </si>
  <si>
    <t>Κάρτες</t>
  </si>
  <si>
    <t>Κάρτα ΟΠΕΠ</t>
  </si>
  <si>
    <t>ΚΑΡΤΑ ΑΠΟ ΤΟΙΧΟΓΡΑΦΙΑ ΜΕ ΠΑΡΑΣΤΑΣΗ ΠΕΡΙΣΤΕΡΙΟΥ</t>
  </si>
  <si>
    <t>ΚΑΡΤΑ ΜΕ ΧΡΥΣΟ ΣΤΕΦΑΝΙ ΜΥΡΤΙΑΣ.</t>
  </si>
  <si>
    <t>ΚΑΡΤΑ ΜΕ ΛΕΠΤΟΜΕΡΕΙΑ ΤΟΙΧΟΓΡΑΦΙΑΣ.
 Ο ΝΕΚΡΟΣ ΩΣ ΠΟΛΕΜΙΣΤΗΣ.</t>
  </si>
  <si>
    <t>ΚΑΡΤΑ ΜΕ ΧΡΥΣΟ ΓΟΡΓΟΝΕΙΟ,ΔΙΑΚΟΣΜΟΣ ΛΙΝΟΘΩΡΑΚΑ.</t>
  </si>
  <si>
    <t>ΚΑΡΤΑ ΑΠΟ ΤΟΙΧΟΓΡΑΦΙΑ ΜΕ ΠΑΡΑΣΤΑΣΗ ΑΡΠΑΓΗΣ ΠΕΡΣΕΦΟΝΗΣ</t>
  </si>
  <si>
    <t>ΚΑΡΤΑ ΑΠΟ ΤΗΝ ΑΡΧΑΙΑ ΑΓΟΡΑ. ΣΤΟΑ ΑΤΤΑΛΟΥ</t>
  </si>
  <si>
    <t>ΚΑΡΤΑ ΜΕ ΚΟΥΡΟ</t>
  </si>
  <si>
    <t>ΚΑΡΤΑ ΜΕ ΚΟΡΕΣ</t>
  </si>
  <si>
    <t>ΚΑΡΤΑ ΜΕ ΠΡΟΣΘΙΟ ΤΜΗΜΑ  ΑΛΟΓΟΥ</t>
  </si>
  <si>
    <t>ΚΑΡΤΑ ΜΕ ΠΛΟΙΑΡΙΑ</t>
  </si>
  <si>
    <t>ΚΑΡΤΑ ΜΕ ΓΥΝΑΙΚΕΙΟ ΚΥΚΛΑΔΙΚΟ ΑΓΑΛΜΑ</t>
  </si>
  <si>
    <t>ΚΑΡΤΑ ΜΕ ΤΗΝ ΝΙΚΗ ΤΗΣ ΑΚΡΟΠΟΛΕΩΣ.</t>
  </si>
  <si>
    <t>ΚΑΡΤΑ ΜΕ ΤΜΗΜΑ ΑΠΟ ΤΗΝ ΖΩΟΦΟΡΟ 
ΤΟΥ ΠΑΡΘΕΝΩΝΑ. ΠΟΣΕΙΔΩΝ, ΑΠΟΛΛΩΝ, ΑΡΤΕΜΙΣ</t>
  </si>
  <si>
    <t>ΚΑΡΤΑ ΜΕ ΤΜΗΜΑ ΑΠΟ ΤΗΝ ΖΩΟΦΟΡΟ
 ΤΟΥ ΠΑΡΘΕΝΩΝΑ. ΥΔΡΙΟΦΟΡΟΙ</t>
  </si>
  <si>
    <t>ΚΑΡΤΑ ΚΥΚΛΑΔΙΚΟ ΜΑΡΜΑΡΙΝΟ ΒΙΟΛΟΣΧΗΜΟ ΕΙΔΩΛΙΟ. ΣΥΝΘΕΣΗ</t>
  </si>
  <si>
    <t>ΚΑΡΤΑ ΚΕΦΑΛΙ ΑΠΟ ΑΓΑΛΜΑ ΚΟΡΗΣ ΤΗΣ ΦΡΑΣΙΚΛΕΙΑΣ</t>
  </si>
  <si>
    <t>ΚΑΡΤΑ ΧΑΛΚΙΝΟ ΑΓΑΛΜΑ ΗΝΙΟΧΟΥ. 
ΣΥΝΘΕΣΗ ΜΕ ΑΛΟΓΑ ΤΕΘΡΙΠΠΟΥ</t>
  </si>
  <si>
    <t>ΚΑΡΤΑ Ο ΜΑΡΜΑΡΙΝΟΣ ΟΜΦΑΛΟΣ 
(ΚΕΝΤΡΟ ΤΟΥ ΚΟΣΜΟΥ) ΛΕΠΤΟΜΕΡΕΙΑ</t>
  </si>
  <si>
    <t>ΚΑΡΤΑ ΓΙΓΑΝΤΟΜΑΧΙΑ (ΛΕΠΤΟΜΕΡΕΙΑ). 
ΒΟΡΕΙΑ ΖΩΦΟΡΟΣ ΤΟΥ ΘΗΣΑΥΡΟΥ ΤΩΝ ΣΙΦΝΙΩΝ</t>
  </si>
  <si>
    <t>ΚΑΡΤΑ ΓΙΓΑΝΤΟΜΑΧΙΑ (ΛΕΠΤΟΜΕΡΕΙΑ) 
ΒΟΡΕΙΑ ΖΩΦΟΡΟΣ ΤΩΝ ΣΙΦΝΙΩΝ</t>
  </si>
  <si>
    <t>ΚΑΡΤΑ Ο ΚΟΡΜΟΣ ΤΟΥ ΔΙΑ.ΑΝΑΤΟΛΙΚΟ ΑΕΤΩΜΑ ΤΟΥ ΝΑΟΥ ΤΟΥ ΔΙΑ</t>
  </si>
  <si>
    <t>ΚΑΡΤΑ ΛΑΠΙΘΙΔΑ. ΔΥΤΙΚΟ ΑΕΤΩΜΑ ΤΟΥ ΝΑΟΥ</t>
  </si>
  <si>
    <t>ΚΑΡΤΑ ΑΡΧΑΙΑ ΟΛΥΜΠΙΑ. Η ΠΑΛΑΙΣΤΡΑ</t>
  </si>
  <si>
    <t>ΚΑΡΤΑ ΑΤΛΑΣ (ΛΕΠΤΟΜΕΡΕΙΑ) ΑΝΑΤΟΛΙΚΗ ΜΕΤΟΠΗ ΑΠΟ ΤΟ ΝΑΟ ΤΟΥ ΔΙΑ</t>
  </si>
  <si>
    <t>ΚΑΡΤΑ ΓΥΝΑΙΚΕΙΟ ΜΥΚΗΝΑΪΚΟ ΕΙΔΩΛΙΟ</t>
  </si>
  <si>
    <t>ΚΑΡΤΑ ΗΡΑΚΛΗΣ, ΑΤΛΑΣ, ΑΘΗΝΑ ΚΑΙ ΤΑ ΜΗΛΑ ΤΩΝ ΕΣΠΕΡΙΔΩΝ</t>
  </si>
  <si>
    <t>ΚΑΡΤΑ ΚΡΑΝΗ. ΣΥΝΘΕΣΗ</t>
  </si>
  <si>
    <t>ΚΑΡΤΑ ΧΡΥΣΟ ΠΕΡΙΑΠΤΟ</t>
  </si>
  <si>
    <t>ΚΑΡΤΑ ΜΙΝΩΙΚΗ ΠΡΟΧΟΥΣ ΚΑΜΑΡΑΪΚΟΥ ΡΥΘΜΟΥ</t>
  </si>
  <si>
    <t>ΚΑΡΤΑ "Ο ΔΙΣΚΟΣ ΤΗΣ ΦΑΙΣΤΟΥ". (ΛΕΠΤΟΜΕΡΕΙΑ)</t>
  </si>
  <si>
    <t>ΚΑΡΤΑ ΜΙΝΩΪΚΟΣ ΚΡΑΤΗΡΑΣ ΚΑΜΑΡΑΪΚΟΥ ΡΥΘΜΟΥ</t>
  </si>
  <si>
    <t>ΚΑΡΤΑ "Ο ΠΡΙΓΚΗΠΑΣ ΜΕ ΤΑ ΚΡΙΝΑ". 
ΤΟΙΧΟΓΡΑΦΙΑ ΑΠΟ ΤΗΝ ΚΝΩΣΟ</t>
  </si>
  <si>
    <t>ΚΑΡΤΑ ΕΙΔΩΛΙΟ ΘΕΑΣ ΜΕ ΥΨΩΜΕΝΑ ΤΑ ΧΕΡΙΑ. ΣΥΝΘΕΣΗ</t>
  </si>
  <si>
    <t>ΚΑΡΤΑ ΜΙΝΩΪΚΟΙ ΔΙΠΛΟΙ ΧΡΥΣΟΙ ΠΕΛΕΚΕΙΣ.ΣΥΝΘΕΣΗ</t>
  </si>
  <si>
    <t>ΚΑΡΤΑ ΜΙΝΩΙΚΟ ΚΑΛΑΘΟΣΧΗΜΟ ΑΓΓΕΙΟ.ΣΥΝΘΕΣΗ</t>
  </si>
  <si>
    <t>ΚΑΡΤΑ ΖΩΟΜΟΡΦΑ ΜΥΚΗΝΑΪΚΑ ΕΙΔΩΛΙΑ</t>
  </si>
  <si>
    <t>ΚΑΡΤΑ ΧΡΥΣΗ ΠΡΟΣΩΠΙΔΑ ΤΟΥ "ΑΓΑΜΕΜΝΟΝΑ" ΣΥΝΘΕΣΗ</t>
  </si>
  <si>
    <t>ΚΑΡΤΑ ΑΣΗΜΕΝΙΟ ΡΥΤΟ ΤΑΥΡΟΚΕΦΑΛΗΣ ΣΥΝΘΕΣΗ</t>
  </si>
  <si>
    <t>ΚΑΡΤΑ ΜΥΚΗΝΑΪΚΟ ΕΙΔΩΛΙΟ ΤΑΥΡΟΥ. ΣΥΝΘΕΣΗ</t>
  </si>
  <si>
    <t>ΚΑΡΤΑ ΓΥΝΑΙΚΕΙΑ ΜΥΚΗΝΑΪΚΑ ΕΙΔΩΛΙΑ .ΣΥΝΘΕΣΗ</t>
  </si>
  <si>
    <t>Εκδόσεις</t>
  </si>
  <si>
    <t>Οδηγοί Μουσείων / Αρχαιολογικών Χώρων</t>
  </si>
  <si>
    <t>Ελληνικό</t>
  </si>
  <si>
    <t>ΗΡΙΔΑΝΟΣ</t>
  </si>
  <si>
    <t>Αγγλικό</t>
  </si>
  <si>
    <t>ΤΑ ΕΡΓΑ ΣΤΗΝ ΑΘΗΝΑΙΚΗ ΑΚΡΟΠΟΛΗ</t>
  </si>
  <si>
    <t>Χάρτες</t>
  </si>
  <si>
    <t>ΙΣΤΟΡΙΚΟΣ ΧΑΡΤΗΣ ΤΗΣ ΑΘΗΝΑΣ</t>
  </si>
  <si>
    <t>Γερμανικό</t>
  </si>
  <si>
    <t>ΤΟ ΕΘΝΙΚΟ ΑΡΧΑΙΟΛΟΓΙΚΟ ΜΟΥΣΕΙΟ</t>
  </si>
  <si>
    <t>Ολυμπιακοί Αγώνες</t>
  </si>
  <si>
    <t>ΟΙ ΟΛΥΜΠΙΑΚΟΙ ΑΓΩΝΕΣ ΣΤΗΝ ΑΡΧΑΙΑ ΕΛΛΑΔΑ</t>
  </si>
  <si>
    <t>Είδη Γραφείου &amp; Διάφορα</t>
  </si>
  <si>
    <t>Mousepad</t>
  </si>
  <si>
    <t>MOUSEPAD ΣΥΝΘΕΣΗ ΣΥΜΒΟΛΩΝ ΑΠΟ ΤΟΝ "ΔΙΣΚΟ ΤΗΣ ΦΑΙΣΤΟΥ"</t>
  </si>
  <si>
    <t>Σετ Αλληλογραφίας</t>
  </si>
  <si>
    <t>ΕΠΙΣΤΟΛΟΧΑΡΤΑ Η ΑΝΟΙΞΗ</t>
  </si>
  <si>
    <t>ΕΠΙΣΤΟΛΟΧΑΡΤΑ ΓΑΛΑΖΙΟ ΠΟΥΛΙ</t>
  </si>
  <si>
    <t>ΕΠΙΣΤΟΛΟΧΑΡΤΑ ΘΑΛΑΣΣΙΟ ΤΟΠΙΟ ΜΕ ΨΑΡΙΑ</t>
  </si>
  <si>
    <t>ΑΦΙΣΑ "ΣΚΗΝΕΣ ΚΥΝΗΓΙΟΥ"</t>
  </si>
  <si>
    <t>ΑΦΙΣΑ "ΝΗΟΠΟΜΠΗ"</t>
  </si>
  <si>
    <t>ΑΦΙΣΑ "Ο ΠΡΙΓΚΗΠΑΣ ΜΕ ΤΑ ΚΡΙΝΑ"</t>
  </si>
  <si>
    <t>Μεταξοτυπία</t>
  </si>
  <si>
    <t>Μεταξωτυπία "Πυγμάχοι"</t>
  </si>
  <si>
    <t>Μεταξωτυπία "Περιστέρι"</t>
  </si>
  <si>
    <t>Μεταξωτυπία "Λουλούδια"</t>
  </si>
  <si>
    <t>Πρες Παπιέ</t>
  </si>
  <si>
    <t>ΠΡΕΣ ΠΑΠΙΕ ΟΠΤΙΚΟ ΚΡΥΣΤΑΛΛΟ "ΠΟΣΕΙΔΩΝΑΣ"</t>
  </si>
  <si>
    <t>ΠΡΕΣ ΠΑΠΙΕ ΟΠΤΙΚΟ ΚΡΥΣΤΑΛΛΟ "ΠΛΟΙΟ"</t>
  </si>
  <si>
    <t>Κεραμικές Εφαρμογές</t>
  </si>
  <si>
    <t>ΟΣΤΡΑΚΟ ΑΝΟΙΞΗ</t>
  </si>
  <si>
    <t>ΟΣΤΡΑΚΟ ΧΕΛΙΔΟΝΟΨΑΡΑ</t>
  </si>
  <si>
    <t>ΟΣΤΡΑΚΟ ΚΡΟΚΟΣΥΛΛΕΚΤΡΙΕΣ</t>
  </si>
  <si>
    <t>Παιχνίδια</t>
  </si>
  <si>
    <t>Μαγνήτης</t>
  </si>
  <si>
    <t>ΜΑΓΝΗΤΗΣ ΧΑΡΤΙΝΟΣ "ΔΙΣΚΟΣ ΦΑΙΣΤΟΥ" ΠΗΛΙΝΟΣ</t>
  </si>
  <si>
    <t>ΜΑΓΝΗΤΗΣ ΧΑΡΤΙΝΟΣ ΔΙΣΚΟΣ ΚΟΚΚΙΝΟΣ</t>
  </si>
  <si>
    <t>ΜΑΓΝΗΤΗΣ ΧΑΡΤΙΝΟΣ ΔΕΛΦΙΝΙΑ</t>
  </si>
  <si>
    <t>Αξεσουάρ</t>
  </si>
  <si>
    <t>Τσάντα</t>
  </si>
  <si>
    <t>ΤΣΑΝΤΑ ΔΙΑΦΑΝΗΣ ΑΝΤΙΝΟΟΣ</t>
  </si>
  <si>
    <t>ΤΣΑΝΤΑ ΔΙΑΦΑΝΗΣ ΠΑΡΘΕΝΩΝΑΣ</t>
  </si>
  <si>
    <t>Μολύβια</t>
  </si>
  <si>
    <t>ΜΟΛΥΒΙ ΑΚΡΟΠΟΛΗ ΡΟΖ</t>
  </si>
  <si>
    <t>ΜΟΛΥΒΙ ΑΚΡ ΠΟΡΤΟΚΑΛΙ</t>
  </si>
  <si>
    <t>ΜΟΛΥΒΙ ΑΚΡΟΠΟΛΗ ΜΠΛΕ</t>
  </si>
  <si>
    <t>ΠΡΕΣ ΠΑΠΙΕ ΟΠΤΙΚΟ ΚΡΥΣΤΑΛΛΟ ΑΛΕΞΑΝΔΡΟΣ ΜΕ  ΒΑΣΗ</t>
  </si>
  <si>
    <t>Άλμπουμ Καρτών</t>
  </si>
  <si>
    <t>ΑΛΜΠΟΥΜ ΚΑΡΤ ΕΠΙΔ ΜΥΚΗΝΕΣ</t>
  </si>
  <si>
    <t>Άλμπουμ Αφισών</t>
  </si>
  <si>
    <t>ΑΛΜΠΟΥΜ ΑΦΙΣΩΝ ΧΩΡΟΙ</t>
  </si>
  <si>
    <t>ΚΑΡΤΑ ΤΟΙΧΟΓΡΑΦΙΑ ΜΕ ΑΣΠΙΔΕΣ ΜΥΚΗΝΩΝ</t>
  </si>
  <si>
    <t>ΚΑΡΤΑ ΑΤΤΙΚΗ ΛΗΚΥΘΟΣ</t>
  </si>
  <si>
    <t>ΚΑΡΤΑ ΣΤΗΛΗ ΑΡΙΣΤΙΩΝΑ</t>
  </si>
  <si>
    <t>ΚΑΡΤΑ ΚΕΦΑΛΗ ΣΦΙΓΓΑΣ</t>
  </si>
  <si>
    <t>ΚΑΡΤΑ ΝΑΟΣ ΑΘΗΝΑΣ</t>
  </si>
  <si>
    <t>ΚΑΡΤΑ ΚΑΡΥΑΤΙΔΕΣ</t>
  </si>
  <si>
    <t>ΚΑΡΤΑ ΜΟΣΧΟΦΟΡΟΣ</t>
  </si>
  <si>
    <t>ΚΑΡΤΑ ΠΡΟΠΥΛΑΙΑ</t>
  </si>
  <si>
    <t>ΚΑΡΤΑ ΕΦΗΒΟΣ ΚΡΙΤΙΟΥ</t>
  </si>
  <si>
    <t>ΚΑΡΤΑ ΠΑΡΘΕΝΩΝΑΣ</t>
  </si>
  <si>
    <t>Αλουμίνιο</t>
  </si>
  <si>
    <t>ΠΕΡΙΑΠΤΟ ΑΝΑΚ.ΑΛΟΥΜΙΝΙΟ ΚΥΚΛΑΔΙΚΟ ΚΕΦΑΛΙ</t>
  </si>
  <si>
    <t>ΠΕΡΙΑΠΤΟ ΑΝΑΚ.ΑΛΟΥΜΙΝΙΟ ΧΕΛΙΔΟΝΙ</t>
  </si>
  <si>
    <t>ΠΕΡΙΑΠΤΟ ΑΝΑΚ.ΑΛΟΥΜΙΝΙΟ ΠΑΠΙΑ</t>
  </si>
  <si>
    <t>Πορτ Κλε</t>
  </si>
  <si>
    <t>ΠΟΡΤ ΚΛΕ ΑΝΑΚ.ΑΛΟΥΜΙΝΙΟ ΧΕΛΙΔΟΝΙ</t>
  </si>
  <si>
    <t>ΠΟΡΤ ΚΛΕ ΑΝΑΚ.ΑΛΟΥΜΙΝΙΟ ΠΑΠΙΑ</t>
  </si>
  <si>
    <t>ΠΟΡΤ ΚΛΕ ΑΝΑΚ.ΑΛΟΥΜΙΝΙΟ ΑΛΟΓΟ</t>
  </si>
  <si>
    <t>Αφίσα με Πασπαρτού</t>
  </si>
  <si>
    <t>ΠΑΣΠΑΡΤΟΥ ΑΦΙΣΑ ΤΖΟΚΕΥ</t>
  </si>
  <si>
    <t>ΠΑΣΠΑΡΤΟΥ ΠΑΡΘΕΝΩΝΑΣ</t>
  </si>
  <si>
    <t>MOUSEPAD ΣΥΝΘΕΣΗ KATAΣΤΗΜΑΤΩΝ</t>
  </si>
  <si>
    <t>ΜΑΓΝΗΤΗΣ ΠΡΙΓΚΗΠΑΣ ΜΕ ΚΡΙΝΑ</t>
  </si>
  <si>
    <t>ΜΑΓΝΗΤΗΣ ΜΥΚΗΝΑΙΑ</t>
  </si>
  <si>
    <t>ΑΦΙΣΑ TZOKEΥ ΑΡΤΕΜΙΣΙΟΥ</t>
  </si>
  <si>
    <t>ΑΦΙΣΑ ΠΡΙΓΚΗΠΑΣ</t>
  </si>
  <si>
    <t>ΑΦΙΣΑ ΠΑΡΙΖΙΑΝΑ</t>
  </si>
  <si>
    <t>ΑΦΙΣΑ ΗΝΙΟΧΟΣ</t>
  </si>
  <si>
    <t>ΑΦΙΣΑ ΠΑΣΠΑΡ ΔΙΟΝΥΣΟΣ ΑΡΙΑΔΝΗ ΠΑΝ</t>
  </si>
  <si>
    <t>ΑΦΙΣΑ  ΠΑΣΠΑΡ ΣΤΕΦΑΝΙ ΜΥΡΤΙΑΣ</t>
  </si>
  <si>
    <t>ΑΦΙΣΑ ΠΑΣΠΑΡ ΠΑΡΘΕΝΩΝΑΣ</t>
  </si>
  <si>
    <t>ΑΦΙΣΑ ΠΑΣΠΑΡ ΚΑΡΥΑΤΙΔΕΣ</t>
  </si>
  <si>
    <t>ΑΦΙΣΑ ΠΑΣΠΑΡ ΔΙΟΝΥΣΟΣ ΣΕ ΠΑΝΘΗΡΑ</t>
  </si>
  <si>
    <t>Αφίσα Fabiano</t>
  </si>
  <si>
    <t>AΦΙΣΑ FABIANO ΠΛΟΥΤΩΝ ΠΕΡΣΕΦΟΝΗ</t>
  </si>
  <si>
    <t>Τουριστικός Οδηγός</t>
  </si>
  <si>
    <t>ΕΛΛΑΔΑ</t>
  </si>
  <si>
    <t>Γαλλικό</t>
  </si>
  <si>
    <t>Ισπανικό</t>
  </si>
  <si>
    <t>Ουγγρικό</t>
  </si>
  <si>
    <t>Ρώσικο</t>
  </si>
  <si>
    <t>Ολλανδικό</t>
  </si>
  <si>
    <t>Ευρύτερου Ενδιαφέροντος</t>
  </si>
  <si>
    <t>ΕΠΙΦΑΝΕΙΣ ΑΡΧΑΙΟΙ ΑΝΔΡΕΣ</t>
  </si>
  <si>
    <t>ΕΛΛΗΝΙΚΗ ΜΑΓΕΙΡΙΚΗ</t>
  </si>
  <si>
    <t>Ιταλικό</t>
  </si>
  <si>
    <t>Πολωνέζικο</t>
  </si>
  <si>
    <t>Σουηδικό</t>
  </si>
  <si>
    <t>Λεύκωμα</t>
  </si>
  <si>
    <t>Δίγλωσσο (ελληνοαγγλικό)</t>
  </si>
  <si>
    <t>ΑΙΓΑΙΟ 365</t>
  </si>
  <si>
    <t>Ανάγλυφη Κάρτα</t>
  </si>
  <si>
    <t>ΑΝΑΓΛ ΚΑΡΤΑ ΠΟΣΕΙΔΩΝΑΣ</t>
  </si>
  <si>
    <t>ΑΝΑΓΛ ΚΑΡΤΑ ΖΩΦΟΡΟΣ</t>
  </si>
  <si>
    <t>ΑΓΓΕΙΟ ΚΥΛΙΚΑΣ</t>
  </si>
  <si>
    <t>ΑΓΓΕΙΟ ΣΚΥΦΟΣ</t>
  </si>
  <si>
    <t>ΑΓΓΕΙΟ ΑΡΥΒΑΛΛΟΣ</t>
  </si>
  <si>
    <t>ΑΓΓΕΙΟ ΑΜΦΟΡΕΑΣ</t>
  </si>
  <si>
    <t>ΑΓΓΕΙΟ ΟΞΥΠΥΘΜΕΝΟΣ ΑΜΦΟΡΕΑΣ</t>
  </si>
  <si>
    <t>ΑΓΓΕΙΟ ΠΥΞΙΔΑ</t>
  </si>
  <si>
    <t>ΟΣΤΡΑΚΟ ΚΟΥΚΟΥΒΑΓΙΑ</t>
  </si>
  <si>
    <t>ΟΣΤΡΑΚΟ ΤΡΙΗΡΗΣ</t>
  </si>
  <si>
    <t>Σουπλά &amp; Σουβερ σετ</t>
  </si>
  <si>
    <t>Παρθενώνας Μαύρο Ασπρο</t>
  </si>
  <si>
    <t>Θέατρο Επιδαύρου</t>
  </si>
  <si>
    <t>Αστέρι Βεργίνας</t>
  </si>
  <si>
    <t>Ίππος</t>
  </si>
  <si>
    <t>Λύρα</t>
  </si>
  <si>
    <t>Ταύρος Μαύρο Κόκκινο</t>
  </si>
  <si>
    <t>Ταύρος Μπλε</t>
  </si>
  <si>
    <t>Τριήρης</t>
  </si>
  <si>
    <t>Έρωτας Με Φτερά</t>
  </si>
  <si>
    <t>Καρυάτιδες</t>
  </si>
  <si>
    <t>Κεφαλές Καρυάτιδες;</t>
  </si>
  <si>
    <t>ΜίαΚεφαλή Καρυάτιδας</t>
  </si>
  <si>
    <t>Χρυσό Κύπελο</t>
  </si>
  <si>
    <t>Ελληνοαγγλικό</t>
  </si>
  <si>
    <t>ΑΡΧΑΙΟΙ ΤΟΠΟΙ</t>
  </si>
  <si>
    <t>Χάρακας</t>
  </si>
  <si>
    <t>ΔΙΑΦΑΝΗΣ ΕΛΑΣΤΙΚΟΣ ΠΛΑΣΤΙΚΟΣ ΧΑΡΑΚΑΣ ΜΕ ΕΚΤΥΠΩΣΗ (30 ΕΚ)</t>
  </si>
  <si>
    <t>ΑΝΑΓΛΥΦΗ ΚΑΡΤΑ ΕΦΗΒΟΣ ΜΑΡΑΘΩΝΑ</t>
  </si>
  <si>
    <t>ΑΝΑΓΛΥΦΗ ΚΑΡΤΑ ΔΙΣΚΟΣ ΦΑΙΣΤΟΥ</t>
  </si>
  <si>
    <t>ΑΝΑΓΛΥΦΗ ΚΑΡΤΑ ΔΕΚΑΕΞΑΚΤΙΝΟ ΑΣΤΕΡΙ</t>
  </si>
  <si>
    <t>ΑΝΑΓΛΥΦΗ ΚΑΡΤΑ ΝΟΜΙΣΜΑ ΜΕ ΑΛΕΞΑΝΔΡΟ</t>
  </si>
  <si>
    <t>ΑΝΑΓΛΥΦΗ ΚΑΡΤΑ ΧΡΥΣΟ ΓΟΡΓΟΝΕΙΟ</t>
  </si>
  <si>
    <t>ΑΝΑΓΛΥΦΗ ΚΑΡΤΑ ΚΟΡΗ</t>
  </si>
  <si>
    <t>ΑΝΑΓΛΥΦΗ ΚΑΡΤΑ ΠΑΡΘΕΝΩΝΑΣ</t>
  </si>
  <si>
    <t>Αρχαιολογικός Οδηγός</t>
  </si>
  <si>
    <t>Η ΔΗΜΙΟΥΡΓΙΚΗ ΟΡΑΣΗ</t>
  </si>
  <si>
    <t>ΠΡΟΣΩΠΑ ΤΗΣ ΑΚΡΟΠΟΛΗΣ</t>
  </si>
  <si>
    <t>ΕΓΡΑΨΑΝ ΓΙΑ ΤΗΝ ΑΚΡΟΠΟΛΗ 1850-1950</t>
  </si>
  <si>
    <t>ΑΡΧΑΙΑ ΑΓΟΡΑ ΤΗΣ ΑΘΗΝΑΣ - ΑΡΕΙΟΣ ΠΑΓΟΣ</t>
  </si>
  <si>
    <t>ΜΟΥΣΕΙΟ ΑΡΧΑΙΑΣ ΑΓΟΡΑΣ</t>
  </si>
  <si>
    <t>ΡΩΜΑΙΚΗ ΑΓΟΡΑ - ΒΙΒΛΙΟΘΗΚΗ ΑΝΔΡΙΑΝΟΥ</t>
  </si>
  <si>
    <t>ΒΟΡΕΙΑ ΑΝΑΤΟΛΙΚΗ ΚΑΙ ΔΥΤΙΚΗ ΚΛΙΤΥΣ ΑΚΡΟΠΟΛΕΩΣ</t>
  </si>
  <si>
    <t>ΛΟΦΟΙ ΦΙΛΟΠΑΠΟΥ -ΠΝΥΚΑΣ ΝΥΜΦΩΝ</t>
  </si>
  <si>
    <t>ΑΡΧΑΙΩΝ ΔΕΙΠΝΟ</t>
  </si>
  <si>
    <t>ΑΚΟΛΟΥΘΩΝΤΑΣ ΤΑ ΒΗΜΑΤΑ ΤΟΥ ΜΕΓΑ ΑΛΕΞΑΝΔΡΟΥ</t>
  </si>
  <si>
    <t>ΑΘΗΝΑ</t>
  </si>
  <si>
    <t>Plexiglass</t>
  </si>
  <si>
    <t xml:space="preserve">ΚΑΡΥΑΤΙΔΑ ΓΡΑΜΜΙΚΟ 15 Χ15Χ2 Α ΟΨΗ </t>
  </si>
  <si>
    <t xml:space="preserve">ΚΑΡΥΑΤΙΔΕΣ 12 ΠΡΟΣΩΠΑ 13ΕΚ.X18ΕΚ. X2ΕΚ ΑΒ ΟΨΗ </t>
  </si>
  <si>
    <t>ΠΑΡΘΕΝΩΝΑΣ ΠΕΤΡΟΛ ΜΑΥΡΟ 15ΕΚ.X15ΕΚ.X2ΕΚ ΑΒ ΟΨΗ</t>
  </si>
  <si>
    <t xml:space="preserve">ΠΑΡΘΕΝΩΝΑΣ ΜΠΛΕ ΚΙΤΡΙΝΟ 13ΕΚ.X13ΕΚ.X2ΕΚ. Α ΟΨΗ </t>
  </si>
  <si>
    <t xml:space="preserve">ΚΝΩΣΟΣ ΡΥΤΟ ΤΑΥΡΟΥ ΜΑΥΡΟ ΚΟΚ ΚΙΤΡ 
11Χ16 ΑΒ ΟΨΗ </t>
  </si>
  <si>
    <t xml:space="preserve">ΚΝΩΣΟΣ ΡΥΤΟ ΤΑΥΡΟΥ  ΜΑΥΡΟ ΜΠΛΕ ΠΟΡΤ.  11ΕΚ.X16ΕΚ.X2ΕΚ Α ΟΨΗ </t>
  </si>
  <si>
    <t xml:space="preserve">ΚΟΥΚΟΥΒΑΓΙΕΣ 11Χ16 Α ΟΨΗ </t>
  </si>
  <si>
    <t>ΙΠΠΟΣ   11Χ16 Α ΟΨΗ .</t>
  </si>
  <si>
    <t xml:space="preserve">ΑΣΤΕΡΙ ΒΕΡΓΙΝΑΣ 11Χ16 Α ΟΨΗ </t>
  </si>
  <si>
    <t>ΚΝΩΣΟΣ ΤΑΥΡΟΣ 11Χ16 Α ΟΨΗ</t>
  </si>
  <si>
    <t>ΒΑΣΗ  ΜΟΝΗ</t>
  </si>
  <si>
    <t>Καμβάς</t>
  </si>
  <si>
    <t xml:space="preserve">ΚΑΡΥΑΤΙΔΕΣ  6 ΧΡΩΜΑΤΑ  8Χ23  6 ΤΕΜΑΧΙΑ </t>
  </si>
  <si>
    <t>ΕΠΙΔΑΥΡΟΣ ΘΕΑΤΡΟ 24Χ24 3 ΤΕΜΑΧΙΑ</t>
  </si>
  <si>
    <t>ΠΑΡΘΕΝΩΝΑΣ  24 Χ24  3 ΤΕΜΑΧΙΑ</t>
  </si>
  <si>
    <t xml:space="preserve">ΚΝΩΣΟΣ ΡΥΤΟ ΤΑΥΡΟΥ 17Χ24  3 ΤΕΜΑΧΙΑ </t>
  </si>
  <si>
    <t xml:space="preserve">ΠΑΡΘΕΝΩΝΑΣ ΜΑΥΡΟ ΑΣΠΡΟ 13Χ13 ΑΒ ΟΨΗ </t>
  </si>
  <si>
    <t>Σουβέρ</t>
  </si>
  <si>
    <t>ΣΟΥΒΕΡ ΠΑΖΛ ΣΤΕΦΑΝΙ ΜΥΡΤΙΑΣ</t>
  </si>
  <si>
    <t>ΣΟΥΒΕΡ ΠΑΖΛ ΑΡΧΑΙΟΣ ΙΠΠΟΣ</t>
  </si>
  <si>
    <t>ΣΟΥΒΕΡ ΠΑΖΛ ΠΑΡΘΕΝΩΝΑΣ</t>
  </si>
  <si>
    <t xml:space="preserve">Χρηστικό πιάτο </t>
  </si>
  <si>
    <t>ΠΙΑΤΟ ΑΛΟΥΜΙΝΙΟ ΜΑΣΚΑ ΑΓΑΜΕΜΝΟΝΑ</t>
  </si>
  <si>
    <t xml:space="preserve">Γλυπτό </t>
  </si>
  <si>
    <t>ΒΟΥΤΗΧΤΕΣ ΧΡΥΣΟ</t>
  </si>
  <si>
    <t>ΟΣΤΡΑΚΟ ΛΙΟΝΤΑΡΙΑ ΔΗΛΟΥ</t>
  </si>
  <si>
    <t>ΟΣΤΡΑΚΟ ΑΠΟΛΛΩΝ ΔΗΛΟΥ</t>
  </si>
  <si>
    <t>ΤΑΥΡΟΣ ΜΕ ΧΡΥΣΑ ΚΕΡΑΤΑ</t>
  </si>
  <si>
    <t>ΑΓΓΕΛΟΣ ΜΙΚΡΟΣ ΑΣΗΜΙ</t>
  </si>
  <si>
    <t>Γούρι</t>
  </si>
  <si>
    <t xml:space="preserve">ΓΟΥΡΙ 2010 ΚΛΑΔΙ ΕΛΙΑΣ </t>
  </si>
  <si>
    <t>SMART ART IN GREECE</t>
  </si>
  <si>
    <t>Ασήμι</t>
  </si>
  <si>
    <t>ΠΕΡΙΑΠΤΟ ΔΗΛΟΣ 9090/0110/10</t>
  </si>
  <si>
    <t>ΕΘΝΙΚΟ ΑΡΧΑΙΟΛΟΓΙΚΟ ΜΟΥΣΕΙΟ</t>
  </si>
  <si>
    <t>Αγγλικά</t>
  </si>
  <si>
    <t>ΕΛΛΗΝΙΚΑ ΑΓΡΙΟΛΟΥΛΟΥΔΑ</t>
  </si>
  <si>
    <t>ΕΦΑΡΜΟΓΕΣ</t>
  </si>
  <si>
    <t>ΑΞΕΣΟΥΑΡ</t>
  </si>
  <si>
    <t>ΤΣΑΝΤΑ</t>
  </si>
  <si>
    <t>ΝΜΑ ΤΣΑΝΤΑ ΘΑΛΑΣΣΗΣ ΑΓΑΛΜΑΤΑ</t>
  </si>
  <si>
    <t>ΝΜΑ ΤΣΑΝΤΑ ΘΑΛΑΣΣΗΣ ΦΙΔΙΑ</t>
  </si>
  <si>
    <t>ΝΜΑ ΤΣΑΝΤΑ ΘΑΛΑΣΣΗΣ ΣΚΟΥΛΑΡΙΚΙ</t>
  </si>
  <si>
    <t>ΕΙΔΗ ΧΑΡΤΙΟΥ</t>
  </si>
  <si>
    <t>ΣΕΛΙΔΟΔΕΙΚΤΕΣ</t>
  </si>
  <si>
    <t>ΝΜΑ ΣΕΛΙΔΟΔΕΙΚΤΕΣ MΕ ΕΚΘΕΜΑΤΑ</t>
  </si>
  <si>
    <t>ΝΜΑ ΤΣΑΝΤΑΚΙ ΓΙΑ ΜΑΓΙΟ ΑΓΑΛΜΑΤΑ</t>
  </si>
  <si>
    <t>ΝΜΑ ΤΣΑΝΤΑΚΙ ΓΙΑ ΜΑΓΙΟ ΦΙΔΙΑ</t>
  </si>
  <si>
    <t>ΝΜΑ ΤΣΑΝΤΑΚΙ ΓΙΑ ΜΑΓΙΟ ΣΚΟΥΛΑΡΙΚΙ</t>
  </si>
  <si>
    <t>ΝΜΑ ΤΣΑΝΤΑΚΙ ΜΙΚΡΟ</t>
  </si>
  <si>
    <t>ΕΙΔΗ ΓΡΑΦΕΙΟΥ</t>
  </si>
  <si>
    <t>ΜΟUSEPAD</t>
  </si>
  <si>
    <t>ΝΜΑ MOUSEPADS ΠΑΙΔΙΚΑ ΦΙΔΙ ΝΟ5</t>
  </si>
  <si>
    <t>ΣΗΜΕΙΩΜΑΤΑΡΙΟ ΜΕΓΑΛΟ</t>
  </si>
  <si>
    <t>ΝΜΑ ΣΗΜΕΙΩΜΑΤΑΡΙΟ 21x15 ΚΑΤΟΨΗ</t>
  </si>
  <si>
    <t>ΝΜΑ ΣΗΜΕΙΩΜΑΤΑΡΙΟ 21x15 ΑΛΟΓΟ</t>
  </si>
  <si>
    <t>ΝΜΑ ΣΗΜΕΙΩΜΑΤΑΡΙΟ 21x15  ΧΕΡΙ ΚΟΡΗΣ</t>
  </si>
  <si>
    <t>ΝΜΑ ΣΗΜΕΙΩΜΑΤΑΡΙΟ 21x15 ΑΚΡΟΚΕΡΑΜΟ</t>
  </si>
  <si>
    <t>ΦΑΚΕΛΟΣ</t>
  </si>
  <si>
    <t>ΝΜΑ ΦΑΚΕΛΟΣ Α4 ΑΛΟΓΟ</t>
  </si>
  <si>
    <t>ΝΜΑ ΦΑΚΕΛΟΣ Α4 ΚΟΤΑ</t>
  </si>
  <si>
    <t>ΝΜΑ ΦΑΚΕΛΟΣ Α4 ΚΑΤΟΨΗ</t>
  </si>
  <si>
    <t>ΝΜΑ ΦΑΚΕΛΟΣ Α4 ΚΑΡΥΑΤΙΔΕΣ</t>
  </si>
  <si>
    <t>ΝΜΑ ΦΑΚΕΛΟΣ Α4 ΠΑΙΔΙΚΟ</t>
  </si>
  <si>
    <t>ΠΑΡΕΟ</t>
  </si>
  <si>
    <t>ΝΜΑ PAREO ΑΓΑΛΜΑΤΑ</t>
  </si>
  <si>
    <t>ΧΑΡΑΚΑΣ</t>
  </si>
  <si>
    <t>ΝΜΑ ΧΑΡΑΚΑΣ ΠΑΙΔΙΚΟΣ</t>
  </si>
  <si>
    <t>ΠΑΙΧΝΙΔΙΑ</t>
  </si>
  <si>
    <t>ΣΗΜΕΙΩΜΑΤΑΡΙΟ</t>
  </si>
  <si>
    <t>ΝΜΑ ΠΑΙΔΙΚΟ ΜΠΛΟΚ ΖΩΓΡΑΦΙΚΗΣ</t>
  </si>
  <si>
    <t>ΔΙΣΚΟΣ</t>
  </si>
  <si>
    <t>ΝΜΑ ΑΣΗΜΕΝΙΟΣ ΔΙΣΚΟΣ</t>
  </si>
  <si>
    <t>ΚΟΝΤΟΜΑΝΙΚΟ</t>
  </si>
  <si>
    <t>ΝΜΑ ΚΟΝΤΟΜΑΝΙΚΟ ACROPOLIS KIDS ΚΟΚΚΙΝΟ-ΜΑΥΡΟ</t>
  </si>
  <si>
    <t>ΝΜΑ ΚΟΝΤΟΜΑΝΙΚΟ ΖΩΑ ΠΙΣΩ ΜΠΡΟΣΤΑ ΛΕΥΚΟ ΝΟ12</t>
  </si>
  <si>
    <t>ΦΩΤΟΦΟΡΟΣ</t>
  </si>
  <si>
    <t>ΝΜΑ ΦΩΤΟΦΟΡΟΣ ΓΡΑΜΜΑΤΑ</t>
  </si>
  <si>
    <t>ΚΟΣΜΗΜΑΤΑ</t>
  </si>
  <si>
    <t>ΑΣΗΜΙ</t>
  </si>
  <si>
    <t>ΚΑΡΦΙΤΣΑ</t>
  </si>
  <si>
    <t>ΝΜΑ ΚΑΡΦΙΤΣΑ ΘΡΑΥΣΜΑ</t>
  </si>
  <si>
    <t>ΣΚΟΥΛΑΡΙΚΙΑ</t>
  </si>
  <si>
    <t>ΝΜΑ ΣΚΟΥΛΑΡΙΚΙΑ ΘΡΑΥΣΜΑΤΑ ΜΙΚΡΑ</t>
  </si>
  <si>
    <t>ΔΑΧΤΥΛΙΔΙ</t>
  </si>
  <si>
    <t>ΝΜΑ ΚΟΛΩΝΕΣ ΔΑΧΤΥΛΙΔΙ ΜΑΚΡΟΣΤΕΝΟ</t>
  </si>
  <si>
    <t>ΝΜΑ ΚΟΛΩΝΕΣ ΣΚΟΥΛΑΡΙΚΙΑ ΤΕΤΡΑΓΩΝΑ</t>
  </si>
  <si>
    <t>ΝΜΑ ΚΟΛΩΝΕΣ ΚΑΡΦΙΤΣΑ</t>
  </si>
  <si>
    <t>ΒΡΑΧΙΟΛΙ</t>
  </si>
  <si>
    <t>ΝΜΑ ΜΕΤΑΞΩΤΑ ΒΡΑΧΙΟΛΙΑ ΑΚΡΟΚΕΡΑΜΟ</t>
  </si>
  <si>
    <t>ΝΜΑ ΜΕΤΑΞΩΤΑ ΒΡΑΧΙΟΛΙΑ ΑΛΟΓΟ</t>
  </si>
  <si>
    <t>ΝΜΑ ΚΑΡΦΙΤΣΕΣ ΠΕΤΕΙΝΟΥ</t>
  </si>
  <si>
    <t>ΚΕΡΑΜΙΚΑ</t>
  </si>
  <si>
    <t>ΠΕΡΙΔΕΡΑΙΑ</t>
  </si>
  <si>
    <t>ΝΜΑ ΧΑΝΔΡΕΣ ΤΗΕΤΙS</t>
  </si>
  <si>
    <t>ΝΜΑ ΣΦΟΝΔΥΛΙΑ</t>
  </si>
  <si>
    <t xml:space="preserve">ΕΦΑΡΜΟΓΕΣ </t>
  </si>
  <si>
    <t>ΕΙΔΗ ΓΡΑΦΕΙΟΥ ΚΑΙ ΔΙΑΦΟΡΑ</t>
  </si>
  <si>
    <t>ΧΑΡΤΟΚΟΠΤΗΣ</t>
  </si>
  <si>
    <t>ΝΜΑ ΧΑΡΤΟΚΟΠΤΗΣ ΦΙΔΙ</t>
  </si>
  <si>
    <t>ΝΜΑ ΧΑΡΤΟΚΟΠΤΗΣ ΦΙΔΙ ΑΣΗΜΕΝΙΟΣ</t>
  </si>
  <si>
    <t>ΝΜΑ ΚΑΡΦΙΤΣΑ ΦΙΔΙ</t>
  </si>
  <si>
    <t>ΝΜΑ ΚΟΝΤΟΜΑΝΙΚΟ ΖΩΑ ΠΙΣΩ ΜΠΡΟΣΤΑ ΚΟΚΚΙΝΟ-ΜΑΥΡΟ ΝΟ13</t>
  </si>
  <si>
    <t>ΝΜΑ ΚΟΝΤΟΜΑΝΙΚΟ ACROPOLIS KIDS ΛΕΥΚΟ ΝΟ16</t>
  </si>
  <si>
    <t>ΝΜΑ ΚΑΡΦΙΤΣΕΣ ΦΙΔΙΟΥ</t>
  </si>
  <si>
    <t>ΝΜΑ ΚΑΡΦΙΤΣΕΣ ΡΟΔΙΟΥ</t>
  </si>
  <si>
    <t>ΕΚΔΟΣΕΙΣ</t>
  </si>
  <si>
    <t>ΛΕΥΚΩΜΑ</t>
  </si>
  <si>
    <t>ΕΛΛΗΝΙΚΑ</t>
  </si>
  <si>
    <t>ΝΜΑ Μεγάλες Στιγμές της Ελληνικής Αρχαιολογίας</t>
  </si>
  <si>
    <t>ΑΓΓΛΙΚΑ</t>
  </si>
  <si>
    <t xml:space="preserve">ΝΜΑ Το Χρυσάφι του κόσμου </t>
  </si>
  <si>
    <t>ΝΜΑ Πολεοδομική Εξέλιξις των Αθηνών-Από των προιστορικων  χρόνων μέχρι των αρχών του 19ου αιώνος</t>
  </si>
  <si>
    <t>ΝΜΑ Αθήνα - Ένα όραμα του κλασικισμού</t>
  </si>
  <si>
    <t>ΝΜΑ Ελλάδος Περιήγησης / Fred. Boissona</t>
  </si>
  <si>
    <t>ΝΜΑ Αιγαίο Άνωθεν</t>
  </si>
  <si>
    <t>ΕΛΛ/ΑΓΓ-ΔΙΓΛΩΣΣΟ</t>
  </si>
  <si>
    <t>ΝΜΑ Ελλάδα Διαδρομή Αιώνων</t>
  </si>
  <si>
    <t>ΝΜΑ Τα Γλυπτά του Παρθενώνα</t>
  </si>
  <si>
    <t>ΝΜΑ Το Αρχαιο Θέατρο του Διονύσου</t>
  </si>
  <si>
    <t>ΝΜΑ Εικόνες της Ελλάδας, Γή</t>
  </si>
  <si>
    <t>ΝΜΑ Η Ζωφόρος του Παρθενώνα</t>
  </si>
  <si>
    <t>ΕΛΛ/ΑΓΓ/ΓΕΡ-ΤΡΙΓΛΩΣΣΟ</t>
  </si>
  <si>
    <t>ΝΜΑ Η Αθήνα κατά την Ρωμαική Εποχή, Σταύρος Βλίζος</t>
  </si>
  <si>
    <t>ΝΜΑ Η Δημιουργική Φωτογραφία στην Αρχαιολογία</t>
  </si>
  <si>
    <t>ΝΜΑ Αθήνα 1839-1900, Φωτογραφικές Μαρτυρίες  / ΠΑΝΟΔΕΤΟ</t>
  </si>
  <si>
    <t>ΕΛΛ/ΓΑΛ/ΓΕΡ/ΙΤΑΛ-ΤΕΤΡΑΓΛΩΣΣΟ</t>
  </si>
  <si>
    <t>ΝΜΑ Αρχαία Ελληνική Γλυπτική - Αφιέρωμα στη μνήμη του γλύπτη Στέλιου Τριάντη</t>
  </si>
  <si>
    <t xml:space="preserve">ΝΜΑ ΔΑΧΤΥΛΙΔΙ ΘΡΑΥΣΜΑΤΑ ΜΕΣΑΙΟ </t>
  </si>
  <si>
    <t>ΑΡΧΑΙΟΛΟΓΙΚΟΣ ΟΔΗΓΟΣ</t>
  </si>
  <si>
    <t>ΝΜΑ Περίπατοι στον Παρθενώνα</t>
  </si>
  <si>
    <t>ΝΜΑ Πρόσωπα της Ακρόπολης</t>
  </si>
  <si>
    <t>ΗΜΕΡΟΛΟΓΙΟ</t>
  </si>
  <si>
    <t>ΝΜΑ ΣΠΙΡΑΛ ΗΜΕΡΟΛΟΓΙΟ</t>
  </si>
  <si>
    <t>ΝΟΜΙΣΜΑΤΑ</t>
  </si>
  <si>
    <t>NMA ΝΟΜΙΣΜΑ ΟΡΕΙΧΑΛΚΟΣ ΜΙΚΡΟ</t>
  </si>
  <si>
    <t>ΜΑΝΤΗΛΙΑ</t>
  </si>
  <si>
    <t>ΝΜΑ ΕΣΑΡΠΑ ΣΚΟΥΡΟΧΡΩΜΗ</t>
  </si>
  <si>
    <t xml:space="preserve">ΝΜΑ ΕΣΑΡΠΑ ΑΝΟΙΧΤΟΧΡΩΜΗ </t>
  </si>
  <si>
    <t>ΕΝΤΥΠΟ</t>
  </si>
  <si>
    <t>ΠΑΙΔΙΚΕΣ ΕΚΔΟΣΕΙΣ</t>
  </si>
  <si>
    <t>ΝΜΑ ΔΙΠΤΥΧΟ ΠΑΙΔΙΚΟ ΒΙΒΛΙΑΡΑΚΙ</t>
  </si>
  <si>
    <t>ΚΛΕΙΔΟΘΗΚΗ</t>
  </si>
  <si>
    <t>ΝΜΑ ΚΛΕΙΔΟΘΗΚΗ ΜΟΥΣΕΙΟΥ</t>
  </si>
  <si>
    <t>ΠΡΕΣ ΠΑΠΙΕ</t>
  </si>
  <si>
    <t>ΝΜΑ ΠΡΕΣ-ΠΑΠΙΕ ΚΑΡΥΑΤΙΔΑ</t>
  </si>
  <si>
    <t>ΝΜΑ ΚΑΡΤΟΘΗΚΗ ΦΙΔΙΑ</t>
  </si>
  <si>
    <t>ΝΜΑ ΒΡΑΧΙΟΛΙ ΦΙΔΙΑ</t>
  </si>
  <si>
    <t>ΝΜΑ ΒΡΑΧΙΟΛΙ ΦΙΔΙΑ ΕΠΙΧΡΥΣΟ</t>
  </si>
  <si>
    <t>NMA ΔΙΠΤΥΧΟ ΠΑΙΔΙΚΟ ΒΙΒΛΙΑΡΑΚΙ ΝΤΥΣΙΜΟ</t>
  </si>
  <si>
    <t>ΣΚΟΥΛΑΡΙΚΙ</t>
  </si>
  <si>
    <t>ΝΜΑ ΣΚΟΥΛΑΡΙΚΙΑ ΠΛΑΣΤΙΚΟΠΟΙΗΜΕΝΑ ΣΦΟΝΔΥΛΙΑ ΜΙΚΡΑ</t>
  </si>
  <si>
    <t>ΝΜΑ ΣΚΟΥΛΑΡΙΚΙΑ ΠΛΑΣΤΙΚΟΠΟΙΗΜΕΝΑ ΣΦΟΝΔΥΛΙΑ ΜΕΣΑΙΑ</t>
  </si>
  <si>
    <t>ΝΜΑ ΣΚΟΥΛΑΡΙΚΙΑ ΠΛΑΣΤΙΚΟΠΟΙΗΜΕΝΑ ΣΦΟΝΔΥΛΙΑ ΜΕΓΑΛΑ</t>
  </si>
  <si>
    <t>ΝΜΑ ΚΑΡΦΙΤΣΑ ΖΩΦΟΡΟΣ</t>
  </si>
  <si>
    <t>ΝΜΑ ΚΑΡΦΙΤΣΑ ΣΦΟΝΔΥΛΙΑ</t>
  </si>
  <si>
    <t>ΝΜΑ ΒΡΑΧΙΟΛΙ ΣΦΟΝΔΥΛΙΑ</t>
  </si>
  <si>
    <t>ΝΜΑ ΒΡΑΧΙΟΛΟ ΖΩΦΟΡΟΣ</t>
  </si>
  <si>
    <t>ΚΡΕΜΑΣΤΟ</t>
  </si>
  <si>
    <t>ΝΜΑ ΚΡΕΜΑΣΤΟ ΣΦΟΝΔΥΛΙΑ ΚΟΝΤΟ</t>
  </si>
  <si>
    <t>ΝΜΑΚΡΕΜΑΣΤΟ ΖΩΦΟΡΟΣ</t>
  </si>
  <si>
    <t>ΝΜΑ ΚΡΕΜΑΣΤΟ ΣΦΟΝΔΥΛΙΑ ΜΑΚΡΥ</t>
  </si>
  <si>
    <t>ΚΟΛΙΕ</t>
  </si>
  <si>
    <t>ΝΜΑ ΠΑΝΤΑΤΙΦ ΘΕΜΑ 1</t>
  </si>
  <si>
    <t>ΝΜΑ ΠΑΝΤΑΤΙΦ ΘΕΜΑ 2</t>
  </si>
  <si>
    <t>ΝΜΑ ΠΑΝΤΑΤΙΦ ΘΕΜΑ3</t>
  </si>
  <si>
    <t>ΔΙΑΚΟΣΜΗΤΙΚΟ</t>
  </si>
  <si>
    <t xml:space="preserve">ΑΓΝΥΘΕΣ ΠΡΕΣ ΠΑΠΙΕ ΜΙΚΡΟ ΜΠΡΟΥΤΖΙΝΟ </t>
  </si>
  <si>
    <t xml:space="preserve">ΑΓΝΥΘΕΣ ΠΡΕΣ ΠΑΠΙΕ ΜΙΚΡΟ ΑΛΟΥΜΙΝΙΟ </t>
  </si>
  <si>
    <t xml:space="preserve">ΑΓΝΥΘΕΣ ΠΡΕΣ ΠΑΠΙΕ ΜΕΓΑΛΟ  ΜΠΡΟΥΝΤΖΙΝΟ </t>
  </si>
  <si>
    <t xml:space="preserve">ΚΟΥΔΟΥΝΙΣΤΡΑ  </t>
  </si>
  <si>
    <t>ΝΜΑ ΧΕΡΙΑ ΚΟΥΔΟΥΝΙΣΤΡΑ ΜΕΓΑΛΗ ΜΠΡΟΥΝΤΖΙΝΗ</t>
  </si>
  <si>
    <t>ΝΜΑ ΧΕΡΙΑ ΔΑΧΤΥΛΙΔΙ ΑΣΗΜΕΝΙΟ</t>
  </si>
  <si>
    <t>ΝΜΑ ΦΩΤΟΦΟΡΟΣ ΚΑΡΥΑΤΙΔΕΣ</t>
  </si>
  <si>
    <t>ΝΜΑ ΦΩΤΟΦΟΡΟΣ ΖΩΟΦΟΡΟΣ</t>
  </si>
  <si>
    <t>ΣΟΥΒΕΡ</t>
  </si>
  <si>
    <t xml:space="preserve">ΝΜΑ ΣΟΥΒΕΡ ΖΩΟΦΟΡΟΣ </t>
  </si>
  <si>
    <t>ΝΜΑ ΣΕΤ ΣΟΥΒΕΡ PVC ΑΡΧΑΙΚΗ</t>
  </si>
  <si>
    <t>ΣΟΥΠΛΑ</t>
  </si>
  <si>
    <t>ΝΜΑ ΣΟΥΠΛΑ PVC (set 2 soupla-2souver) ΑΚΡΟΚΕΡΑΜΟ</t>
  </si>
  <si>
    <t>ΝΜΑ ΣΟΥΠΛΑ PVC (set 2 soupla-2souver) ΑΛΟΓΟ</t>
  </si>
  <si>
    <t>ΕΡΕΤΡΙΑ, ΜΑΤΙΕΣ ΣΕ ΜΙΑ ΑΡΧΑΙΑ ΠΟΛΗ</t>
  </si>
  <si>
    <t>ΝΜΑ ΕΣΑΡΠΑ ΜΠΡΟΝΤΩ</t>
  </si>
  <si>
    <t xml:space="preserve">ΠΡΟΪΟΝΤΑ ΑΝΑ ΚΩΔΙΚΟ ΕΙΔΟΥΣ ΓΙΑ ΠΩΛΗΤΗΡΙΑ </t>
  </si>
  <si>
    <t xml:space="preserve">ΣΥΝΟΛΟ ΕΜΠΟΡΕΥΜΑΤΩΝ ΓΙΑ ΠΩΛΗΤΗΡΙΑ </t>
  </si>
  <si>
    <t>ΠΡΟΪΟΝΤΑ ΑΝΑ ΚΩΔΙΚΟ ΕΙΔΟΥΣ ΜΕ ΛΟΓΟΤΥΠΟ  ΤΟΥ ΝΕΟΥ  ΜΟΥΣΕΙΟΥ ΑΚΡΟΠΟΛΗΣ</t>
  </si>
  <si>
    <t xml:space="preserve"> ΤΕΜΑΧΙΑ</t>
  </si>
  <si>
    <t>ΠΕΡΙΓΡΑΦΗ ΚΑΙ ΧΑΡΑΚΤΗΡΙΣΤΑ ΑΝ ΕΙΔΟΣ</t>
  </si>
  <si>
    <t xml:space="preserve">ΕΠΙΠΛΑ &amp; ΛΟΙΠΟΣ ΕΞΟΠΛΙΣΜΟΣ ΠΟΥ ΔΙΑΤΙΘΕΝΤΑΙ ΠΡΟΣ ΠΩΛΗΣΗ ΑΠΟ ΤΟΝ ΧΩΡΟ ΑΠΟΘΗΚΕΥΣΗΣ -ΘΕΣΣΑΛΟΝΙΚΗ ΚΤΙΡΙΟ ΕΠΙ ΤΗΣ ΟΔΟΥ ΣΑΧΤΟΥΡΗ 34Α ΑΝΩ ΠΟΛΗ </t>
  </si>
  <si>
    <t xml:space="preserve"> ΓΡΑΦΕΙΟ ΤΥΠΟΥ"FI" (160X80) MAT KERAM. SATO</t>
  </si>
  <si>
    <t>200cm μήκος ΣΧΗΜΑΤΟΣ ΟΒΑΛ</t>
  </si>
  <si>
    <t xml:space="preserve">MODELO </t>
  </si>
  <si>
    <t>Αριθ. Κυκλοφ</t>
  </si>
  <si>
    <t xml:space="preserve">MITSUBISHI SPACE WAGON   1997cc  ΧΡΩΜΑ ΒΥΣΣΙΝΙ   </t>
  </si>
  <si>
    <t>AYTOKINHTA  ΙΧ</t>
  </si>
  <si>
    <t>Εκτιμώμενη Σημερινή αξία Τεμ</t>
  </si>
  <si>
    <t>Γενικό Σύνολο</t>
  </si>
  <si>
    <t>Γενικό Σύνολο  Προ Φπα</t>
  </si>
  <si>
    <t>Εκτιμώμενο Σημερινό Κόστος Προ Φπα</t>
  </si>
  <si>
    <t xml:space="preserve">Α=ΚΑΙΝΟΥΡΓΙΟ </t>
  </si>
  <si>
    <t xml:space="preserve">Β=ΜΕΤΑΧΕΙΡΙΣΜΕΝΟ ΜΕΤΡΙΑ ΕΩΣ ΚΑΛΗ ΚΑΤΑΣΤΑΣΗ </t>
  </si>
  <si>
    <t xml:space="preserve">Γ=ΚΑΚΗ ΚΑΤΑΣΤΑΣΗ </t>
  </si>
  <si>
    <t>*</t>
  </si>
  <si>
    <t>ΠΑΛΑΙΟΤΗΤΑ     ΛΕΙΤΟΥΡΓΙΚΗ ΚΑΤΑΣΤΑΣΗ (*)</t>
  </si>
  <si>
    <t>Β</t>
  </si>
  <si>
    <t>Α</t>
  </si>
  <si>
    <t>ΓΕΝΙΚΟ ΣΥΝΟΛΟ ΕΡΜΑΡΙΩΝ</t>
  </si>
  <si>
    <t>ΓΕΝΙΚΗ ΑΞΙΑ ΓΡΑΦΕΙΩΝ</t>
  </si>
  <si>
    <t>ΓΕΝΙΚΟ ΑΞΙΑ ΝΤΟΥΛΑΠΙΩΝ</t>
  </si>
  <si>
    <t>ΓΕΝΙΚΗ ΑΞΙΑ ΚΑΡΕΚΛΩΝ</t>
  </si>
  <si>
    <t>ΓΕΝΙΚΗ ΑΞΙΑ ΚΑΝΑΠΕΔΩΝ</t>
  </si>
  <si>
    <t>ΓΕΝΙΚΟ ΑΞΙΑ ΛΟΙΠΩΝ ΕΠΙΠΛΩΝ &amp; ΕΞΟΠΛΙΣΜΟΥ</t>
  </si>
  <si>
    <t>ΓΕΝΙΚΗ ΑΞΙΑ ΟΧΗΜΑΤΩΝ</t>
  </si>
  <si>
    <t>ΓΕΝΙΚΗ ΑΞΙΑ ΕΜΠΟΡΕΥΜΑΤΩΝ</t>
  </si>
  <si>
    <t>ΓΕΝΙΚΟ ΣΥΝΟΛΟ ΠΡΟΣ ΕΚΠΟΙΗΣΗ</t>
  </si>
  <si>
    <t>ΕΥΡΩ</t>
  </si>
  <si>
    <t xml:space="preserve">Ο Εκτιμητής/Πραγματογνώμονας </t>
  </si>
  <si>
    <t>Παναγιώτης Καλησπεράκης</t>
  </si>
  <si>
    <t xml:space="preserve"> Ο Εκκαθαριστής </t>
  </si>
  <si>
    <t>Δημήτριος  Αγγέλου</t>
  </si>
  <si>
    <t xml:space="preserve">ΓΡΑΦΕΙΑ  ΞΥΛΙΝΑ ΜΕ ΜΕΤΑΛΛΙΚΑ ΠΟΔΙΑ &amp; ΓΩΝΙΑ -SATO                                        ( ΣΥΝΑΡΜΟΛΟΓΟΥΜΕΝΟ)                                                                                                                                                    </t>
  </si>
  <si>
    <t>ΣΕΛΙΔΑ 11</t>
  </si>
  <si>
    <t xml:space="preserve">ΣΥΝΟΛΟ ΑΞΙΑΣ ΕΠΙΠΛΩΝ ΥΠΟΚ/ΤΟΣ ΘΕΣ/ΝΙΚΗΣ </t>
  </si>
  <si>
    <t xml:space="preserve">ΓΕΝΙΚΟ ΣΥΝΟΛΟ ΕΜΠΟΡΕΥΜΑΤΩΝ </t>
  </si>
  <si>
    <t xml:space="preserve">ΓΕΝΙΚΗ ΑΞΙΑ ΕΜΠΟΡΕΥΜΑΤΩΝ- ΜΟΥΣΕΙΟ ΑΚΡΟΠΟΛΗΣ </t>
  </si>
  <si>
    <t xml:space="preserve">ΓΕΝΙΚΗ ΑΞΙΑ ΕΠΙΠΛΩΝ - ΛΟΙΠΟΥ ΕΞΟΠΛΙΣΜΟΥ &amp; ΟΧΗΜΑΤΩΝ </t>
  </si>
  <si>
    <t>80Χ180</t>
  </si>
  <si>
    <t>VOLKS WAGEN GOLF            1595cc   ΧΡΩΜΑ ΜΑΥΡΟ</t>
  </si>
  <si>
    <t>ZZK  6856</t>
  </si>
  <si>
    <t>Η Ανώνυμη Εταιρία με την επωνυμία "ΟΡΓΑΝΙΣΜΟΣ ΠΡΟΒΟΛΗΣ ΕΛΛΗΝΙΚΟΥ ΠΟΛΙΤΙΣΜΟΥ ΑΕ -ΥΠΟ ΕΚΚΑΘΑΡΙΣΗ" ( ΟΠΕΠ ΑΕ Υπό  Εκκαθάριση) που εδρεύει στην οδό Σουλτάνη 6 τκ 10682- Εξάρχεια -Αθήνα, εποπτευόμενος φορέας του Υπουργείου Πολιτισμού και Αθλητισμού  και με τον ν 4002/22.08.2011 λύθηκε και τέθηκε υπό εκκαθάριση.Στο πλαίσιο των κείμενων διατάξεων "περί εκκαθάρισης ανωνύμων εταιριών" ο εντολοδόχος εκκαθαριστής ( ΦΕΚ Β 2732/31.08.2016) για την εξυπηρέτηση των συμφερόντων της εταιρίας, αλλά και του δημοσίου, εκποιεί κινητά περιουσιακά της στοιχεία. Σε αυτά περιλαμβάνονται τρία επιβατικά αυτοκίνητα, έπιπλα και λοιπός εξοπλισμός γραφείων. Ακόμη περιλαμβάνονται εμπορεύματα που αφορούν πολιτιστικά προϊόντα όπως, αντίγραφα ειδωλίων,νομισμάτων,κοσμημάτων,σκευών κ.α ευρημάτων σε αρχαιολογικούς χώρους, καθώς και σύγχρονες χρησρικές εφαρμοσές τους. Για την εκποίηση αναγγέλει πρόσκληση ενδιαφέροντος προς υποψήφιους αγοραστές.Οι ενδιαφερόμενοι μπορούν να προσέρχονται στα γραφεία της εταιρίαςστην ως άνω διεύθυνση για να λάβουν γνώση των αναλυτικών καταλόγων ανά είδος με την αντίστοιχη εναρκτήρια τιμή πώλησης τους, από Πέμπτη 27/04/2017 έως την Παρασκευή 05/05/2017 από τις 10:00 π.μ έως τις 13:00 μ.μ.</t>
  </si>
  <si>
    <t xml:space="preserve">Δύνανται ακόμη να πληροφορηθούν για την διαδικασία εκποίηση τους και τον προγραμματισμό επισκεψιμότητας τους στους χώρους όπου αυτά φυλάσσονται, δηλαδή στο πρώην αεροδρόμιο του Ελληνικού. Έως και την την Παρασκευή 05/05/2017 (από 10:00 π.μ έως στις 13:00μ.μ) στην ως άνω διεύθυνση μπορούν να υποβάλλουν σε ανοικτούς φακέλους τις σχετικές προσφορές τους. Σε αυτές θα πρέπει να περιλαμβάνονται τα πλήρη στοιχεία του αγοραστή, ονοματεπώνυμο, ή επωνυμία της εταιρίας, ΑΦΜ, διεύθυνση, τηλέφωνα επικοινωνίας.Σημειωτέον ότι, οι προσφορές για το σύνολο ή και ομαδική αγορά αντικειμένων( επίπλων, λοιπού εξοπλισμού, και εμπορευμάτων) θα τύχουν προτεραιότητας.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</si>
</sst>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dd/mm/yy"/>
    <numFmt numFmtId="173" formatCode="[$-408]dddd\,\ d\ mmmm\ yyyy"/>
    <numFmt numFmtId="174" formatCode="[$-408]h:mm:ss\ AM/PM"/>
    <numFmt numFmtId="175" formatCode="mmm\-yyyy"/>
    <numFmt numFmtId="176" formatCode="dd/mm/yy;@"/>
    <numFmt numFmtId="177" formatCode="#,##0\ &quot;€&quot;"/>
    <numFmt numFmtId="178" formatCode="[$-408]mmmmm;@"/>
    <numFmt numFmtId="179" formatCode="0.00_ ;[Red]\-0.00\ "/>
    <numFmt numFmtId="180" formatCode="_([$€]* #,##0.00_);_([$€]* \(#,##0.00\);_([$€]* &quot;-&quot;??_);_(@_)"/>
    <numFmt numFmtId="181" formatCode="#,##0.00\ &quot;€&quot;"/>
    <numFmt numFmtId="182" formatCode="0.000"/>
    <numFmt numFmtId="183" formatCode="#,##0.000"/>
    <numFmt numFmtId="184" formatCode="0.0"/>
    <numFmt numFmtId="185" formatCode="#,##0.00_ ;[Red]\-#,##0.00\ "/>
    <numFmt numFmtId="186" formatCode="#,##0_ ;[Red]\-#,##0\ "/>
    <numFmt numFmtId="187" formatCode="&quot;Ναι&quot;;&quot;Ναι&quot;;&quot;'Οχι&quot;"/>
    <numFmt numFmtId="188" formatCode="&quot;Αληθές&quot;;&quot;Αληθές&quot;;&quot;Ψευδές&quot;"/>
    <numFmt numFmtId="189" formatCode="&quot;Ενεργοποίηση&quot;;&quot;Ενεργοποίηση&quot;;&quot;Απενεργοποίηση&quot;"/>
    <numFmt numFmtId="190" formatCode="[$€-2]\ #,##0.00_);[Red]\([$€-2]\ #,##0.00\)"/>
    <numFmt numFmtId="191" formatCode="&quot;Yes&quot;;&quot;Yes&quot;;&quot;No&quot;"/>
    <numFmt numFmtId="192" formatCode="&quot;True&quot;;&quot;True&quot;;&quot;False&quot;"/>
    <numFmt numFmtId="193" formatCode="&quot;On&quot;;&quot;On&quot;;&quot;Off&quot;"/>
  </numFmts>
  <fonts count="37">
    <font>
      <sz val="10"/>
      <name val="Arial"/>
      <family val="0"/>
    </font>
    <font>
      <b/>
      <sz val="10"/>
      <name val="Arial"/>
      <family val="2"/>
    </font>
    <font>
      <sz val="8"/>
      <name val="Arial"/>
      <family val="0"/>
    </font>
    <font>
      <b/>
      <sz val="12"/>
      <name val="Arial"/>
      <family val="2"/>
    </font>
    <font>
      <sz val="12"/>
      <name val="Arial"/>
      <family val="2"/>
    </font>
    <font>
      <b/>
      <sz val="14"/>
      <name val="Arial"/>
      <family val="2"/>
    </font>
    <font>
      <sz val="11"/>
      <name val="Tahoma"/>
      <family val="0"/>
    </font>
    <font>
      <b/>
      <sz val="11"/>
      <name val="Tahoma"/>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Narrow"/>
      <family val="2"/>
    </font>
    <font>
      <sz val="8"/>
      <name val="Arial Narrow"/>
      <family val="2"/>
    </font>
    <font>
      <sz val="8"/>
      <color indexed="8"/>
      <name val="Arial Narrow"/>
      <family val="2"/>
    </font>
    <font>
      <b/>
      <sz val="14"/>
      <name val="Arial Narrow"/>
      <family val="2"/>
    </font>
    <font>
      <b/>
      <sz val="10"/>
      <name val="Arial Narrow"/>
      <family val="2"/>
    </font>
    <font>
      <b/>
      <sz val="11"/>
      <name val="Arial Narrow"/>
      <family val="2"/>
    </font>
    <font>
      <b/>
      <sz val="22"/>
      <name val="Arial"/>
      <family val="2"/>
    </font>
    <font>
      <b/>
      <sz val="14"/>
      <name val="Tahoma"/>
      <family val="2"/>
    </font>
    <font>
      <i/>
      <sz val="10"/>
      <name val="Arial"/>
      <family val="2"/>
    </font>
    <font>
      <sz val="1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color indexed="63"/>
      </top>
      <bottom style="thin"/>
    </border>
    <border>
      <left style="thin"/>
      <right style="medium"/>
      <top style="thin"/>
      <bottom style="thin"/>
    </border>
    <border>
      <left style="medium"/>
      <right style="thin"/>
      <top style="thin"/>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medium"/>
    </border>
    <border>
      <left>
        <color indexed="63"/>
      </left>
      <right style="thin"/>
      <top style="thin"/>
      <bottom style="thin"/>
    </border>
    <border>
      <left style="thin"/>
      <right>
        <color indexed="63"/>
      </right>
      <top>
        <color indexed="63"/>
      </top>
      <bottom style="thin"/>
    </border>
    <border>
      <left style="medium"/>
      <right style="thin"/>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medium"/>
      <right style="medium"/>
      <top>
        <color indexed="63"/>
      </top>
      <bottom>
        <color indexed="63"/>
      </bottom>
    </border>
    <border>
      <left style="thin"/>
      <right>
        <color indexed="63"/>
      </right>
      <top style="thin"/>
      <bottom style="medium"/>
    </border>
    <border>
      <left style="thin"/>
      <right>
        <color indexed="63"/>
      </right>
      <top style="medium"/>
      <bottom style="thin"/>
    </border>
    <border>
      <left style="thin"/>
      <right style="thin"/>
      <top style="thin"/>
      <bottom style="double"/>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color indexed="63"/>
      </bottom>
    </border>
    <border>
      <left>
        <color indexed="63"/>
      </left>
      <right>
        <color indexed="63"/>
      </right>
      <top style="thin"/>
      <bottom style="double"/>
    </border>
    <border>
      <left style="medium"/>
      <right style="thin"/>
      <top>
        <color indexed="63"/>
      </top>
      <bottom>
        <color indexed="63"/>
      </bottom>
    </border>
    <border>
      <left>
        <color indexed="63"/>
      </left>
      <right style="thin"/>
      <top>
        <color indexed="63"/>
      </top>
      <bottom style="medium"/>
    </border>
    <border>
      <left style="medium"/>
      <right style="medium"/>
      <top style="medium"/>
      <bottom>
        <color indexed="63"/>
      </bottom>
    </border>
    <border>
      <left style="thin"/>
      <right style="thin"/>
      <top style="medium"/>
      <bottom>
        <color indexed="63"/>
      </bottom>
    </border>
    <border>
      <left style="thin"/>
      <right style="medium"/>
      <top style="medium"/>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0"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22" fillId="0" borderId="0">
      <alignment/>
      <protection/>
    </xf>
    <xf numFmtId="0" fontId="6"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0" fillId="0" borderId="0">
      <alignment/>
      <protection/>
    </xf>
    <xf numFmtId="0" fontId="19" fillId="7" borderId="1" applyNumberFormat="0" applyAlignment="0" applyProtection="0"/>
    <xf numFmtId="0" fontId="13" fillId="21" borderId="2" applyNumberFormat="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3" fillId="20" borderId="8" applyNumberFormat="0" applyAlignment="0" applyProtection="0"/>
    <xf numFmtId="0" fontId="14"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1" fillId="3" borderId="0" applyNumberFormat="0" applyBorder="0" applyAlignment="0" applyProtection="0"/>
    <xf numFmtId="0" fontId="15" fillId="4" borderId="0" applyNumberFormat="0" applyBorder="0" applyAlignment="0" applyProtection="0"/>
    <xf numFmtId="0" fontId="21" fillId="22" borderId="0" applyNumberFormat="0" applyBorder="0" applyAlignment="0" applyProtection="0"/>
    <xf numFmtId="0" fontId="26" fillId="0" borderId="0" applyNumberFormat="0" applyFill="0" applyBorder="0" applyAlignment="0" applyProtection="0"/>
    <xf numFmtId="0" fontId="0" fillId="23" borderId="7" applyNumberFormat="0" applyFont="0" applyAlignment="0" applyProtection="0"/>
    <xf numFmtId="0" fontId="20" fillId="0" borderId="6" applyNumberFormat="0" applyFill="0" applyAlignment="0" applyProtection="0"/>
    <xf numFmtId="0" fontId="25" fillId="0" borderId="9" applyNumberFormat="0" applyFill="0" applyAlignment="0" applyProtection="0"/>
    <xf numFmtId="0" fontId="24" fillId="0" borderId="0" applyNumberFormat="0" applyFill="0" applyBorder="0" applyAlignment="0" applyProtection="0"/>
    <xf numFmtId="0" fontId="12" fillId="20" borderId="1" applyNumberFormat="0" applyAlignment="0" applyProtection="0"/>
  </cellStyleXfs>
  <cellXfs count="238">
    <xf numFmtId="0" fontId="0" fillId="0" borderId="0" xfId="0" applyAlignment="1">
      <alignment/>
    </xf>
    <xf numFmtId="0" fontId="1" fillId="0" borderId="0" xfId="0" applyFont="1" applyAlignment="1">
      <alignment/>
    </xf>
    <xf numFmtId="0" fontId="0" fillId="0" borderId="0" xfId="0" applyAlignment="1">
      <alignment horizontal="right"/>
    </xf>
    <xf numFmtId="0" fontId="1" fillId="0" borderId="10" xfId="0" applyFont="1" applyBorder="1" applyAlignment="1">
      <alignment horizontal="center"/>
    </xf>
    <xf numFmtId="0" fontId="0" fillId="0" borderId="10" xfId="0" applyBorder="1" applyAlignment="1">
      <alignment/>
    </xf>
    <xf numFmtId="0" fontId="0" fillId="0" borderId="10" xfId="0" applyBorder="1" applyAlignment="1">
      <alignment horizontal="righ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2" xfId="0" applyBorder="1" applyAlignment="1">
      <alignment horizontal="right"/>
    </xf>
    <xf numFmtId="0" fontId="0" fillId="0" borderId="11" xfId="0" applyBorder="1" applyAlignment="1">
      <alignment horizontal="right"/>
    </xf>
    <xf numFmtId="0" fontId="0" fillId="0" borderId="0" xfId="0" applyBorder="1" applyAlignment="1">
      <alignment/>
    </xf>
    <xf numFmtId="0" fontId="0" fillId="0" borderId="0" xfId="0" applyBorder="1" applyAlignment="1">
      <alignment horizontal="right"/>
    </xf>
    <xf numFmtId="0" fontId="1" fillId="0" borderId="11"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15" xfId="0" applyBorder="1" applyAlignment="1">
      <alignment/>
    </xf>
    <xf numFmtId="0" fontId="0" fillId="0" borderId="16"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5" xfId="0" applyBorder="1" applyAlignment="1">
      <alignment wrapText="1"/>
    </xf>
    <xf numFmtId="0" fontId="0" fillId="0" borderId="17" xfId="0" applyBorder="1" applyAlignment="1">
      <alignment/>
    </xf>
    <xf numFmtId="0" fontId="1" fillId="0" borderId="16" xfId="0" applyFont="1" applyBorder="1" applyAlignment="1">
      <alignment horizontal="center"/>
    </xf>
    <xf numFmtId="0" fontId="0" fillId="0" borderId="18" xfId="0" applyBorder="1" applyAlignment="1">
      <alignment wrapText="1"/>
    </xf>
    <xf numFmtId="0" fontId="0" fillId="0" borderId="19" xfId="0" applyBorder="1" applyAlignment="1">
      <alignment wrapText="1"/>
    </xf>
    <xf numFmtId="0" fontId="1" fillId="0" borderId="20" xfId="0" applyFont="1" applyBorder="1" applyAlignment="1">
      <alignment horizontal="center"/>
    </xf>
    <xf numFmtId="0" fontId="3" fillId="0" borderId="11" xfId="0" applyFont="1" applyBorder="1" applyAlignment="1">
      <alignment horizontal="center"/>
    </xf>
    <xf numFmtId="0" fontId="4" fillId="0" borderId="0" xfId="0" applyFont="1" applyBorder="1" applyAlignment="1">
      <alignment/>
    </xf>
    <xf numFmtId="0" fontId="0" fillId="0" borderId="15" xfId="0" applyFont="1" applyFill="1" applyBorder="1" applyAlignment="1">
      <alignment horizontal="left"/>
    </xf>
    <xf numFmtId="0" fontId="3" fillId="0" borderId="16" xfId="0" applyFont="1" applyBorder="1" applyAlignment="1">
      <alignment horizontal="center"/>
    </xf>
    <xf numFmtId="0" fontId="0" fillId="0" borderId="0" xfId="0" applyAlignment="1">
      <alignment horizontal="center"/>
    </xf>
    <xf numFmtId="0" fontId="0" fillId="0" borderId="10" xfId="0" applyBorder="1" applyAlignment="1">
      <alignment horizontal="center" vertical="center" wrapText="1"/>
    </xf>
    <xf numFmtId="0" fontId="0" fillId="0" borderId="0" xfId="0" applyBorder="1" applyAlignment="1">
      <alignment horizontal="center"/>
    </xf>
    <xf numFmtId="0" fontId="0" fillId="0" borderId="10" xfId="0" applyBorder="1" applyAlignment="1">
      <alignment horizontal="center" wrapText="1"/>
    </xf>
    <xf numFmtId="0" fontId="0" fillId="0" borderId="21" xfId="0" applyFont="1" applyFill="1" applyBorder="1" applyAlignment="1">
      <alignment horizontal="center"/>
    </xf>
    <xf numFmtId="0" fontId="1" fillId="0" borderId="10" xfId="0" applyFont="1" applyBorder="1" applyAlignment="1">
      <alignment horizontal="center" wrapText="1"/>
    </xf>
    <xf numFmtId="0" fontId="0" fillId="0" borderId="22" xfId="0" applyBorder="1" applyAlignment="1">
      <alignment horizontal="center"/>
    </xf>
    <xf numFmtId="0" fontId="0" fillId="0" borderId="19" xfId="0" applyBorder="1" applyAlignment="1">
      <alignment/>
    </xf>
    <xf numFmtId="0" fontId="1" fillId="0" borderId="0" xfId="0" applyFont="1" applyBorder="1" applyAlignment="1">
      <alignment/>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wrapText="1"/>
    </xf>
    <xf numFmtId="0" fontId="0" fillId="0" borderId="10" xfId="0" applyBorder="1" applyAlignment="1">
      <alignment/>
    </xf>
    <xf numFmtId="0" fontId="0" fillId="0" borderId="12" xfId="0" applyBorder="1" applyAlignment="1">
      <alignment horizontal="center"/>
    </xf>
    <xf numFmtId="0" fontId="1" fillId="0" borderId="23" xfId="0" applyFont="1" applyBorder="1" applyAlignment="1">
      <alignment horizontal="center"/>
    </xf>
    <xf numFmtId="0" fontId="1" fillId="0" borderId="24" xfId="0" applyFont="1" applyBorder="1" applyAlignment="1">
      <alignment/>
    </xf>
    <xf numFmtId="0" fontId="1" fillId="0" borderId="10" xfId="0" applyFont="1" applyBorder="1" applyAlignment="1">
      <alignment wrapText="1"/>
    </xf>
    <xf numFmtId="1" fontId="7" fillId="0" borderId="10" xfId="75" applyNumberFormat="1" applyFont="1" applyFill="1" applyBorder="1" applyAlignment="1">
      <alignment horizontal="right" vertical="center"/>
      <protection/>
    </xf>
    <xf numFmtId="1" fontId="7" fillId="0" borderId="10" xfId="75" applyNumberFormat="1" applyFont="1" applyFill="1" applyBorder="1" applyAlignment="1">
      <alignment vertical="center"/>
      <protection/>
    </xf>
    <xf numFmtId="0" fontId="1" fillId="0" borderId="0" xfId="0" applyFont="1" applyBorder="1" applyAlignment="1">
      <alignment wrapText="1"/>
    </xf>
    <xf numFmtId="0" fontId="0" fillId="0" borderId="15" xfId="0" applyBorder="1" applyAlignment="1">
      <alignment horizontal="left" vertical="center"/>
    </xf>
    <xf numFmtId="0" fontId="0" fillId="0" borderId="15" xfId="0" applyBorder="1" applyAlignment="1">
      <alignment horizontal="left" wrapText="1"/>
    </xf>
    <xf numFmtId="0" fontId="8" fillId="0" borderId="15" xfId="0" applyFont="1" applyBorder="1" applyAlignment="1">
      <alignment horizontal="center"/>
    </xf>
    <xf numFmtId="0" fontId="8" fillId="0" borderId="10" xfId="0" applyFont="1" applyBorder="1" applyAlignment="1">
      <alignment horizontal="center"/>
    </xf>
    <xf numFmtId="0" fontId="8" fillId="0" borderId="10" xfId="0" applyFont="1" applyBorder="1" applyAlignment="1">
      <alignment horizontal="center" wrapText="1"/>
    </xf>
    <xf numFmtId="0" fontId="3" fillId="0" borderId="16" xfId="0" applyFont="1" applyBorder="1" applyAlignment="1">
      <alignment horizontal="center" wrapText="1"/>
    </xf>
    <xf numFmtId="0" fontId="0" fillId="0" borderId="19" xfId="0" applyFill="1" applyBorder="1" applyAlignment="1">
      <alignment/>
    </xf>
    <xf numFmtId="0" fontId="1" fillId="0" borderId="14" xfId="0" applyFont="1" applyBorder="1" applyAlignment="1">
      <alignment horizontal="center" wrapText="1"/>
    </xf>
    <xf numFmtId="0" fontId="28" fillId="0" borderId="10" xfId="74" applyNumberFormat="1" applyFont="1" applyBorder="1" applyAlignment="1" quotePrefix="1">
      <alignment horizontal="center" wrapText="1"/>
      <protection/>
    </xf>
    <xf numFmtId="0" fontId="28" fillId="0" borderId="10" xfId="74" applyNumberFormat="1" applyFont="1" applyFill="1" applyBorder="1" applyAlignment="1" quotePrefix="1">
      <alignment horizontal="center" wrapText="1"/>
      <protection/>
    </xf>
    <xf numFmtId="182" fontId="28" fillId="0" borderId="10" xfId="74" applyNumberFormat="1" applyFont="1" applyFill="1" applyBorder="1" applyAlignment="1">
      <alignment horizontal="center" wrapText="1"/>
      <protection/>
    </xf>
    <xf numFmtId="0" fontId="28" fillId="0" borderId="10" xfId="0" applyFont="1" applyFill="1" applyBorder="1" applyAlignment="1">
      <alignment horizontal="center" wrapText="1"/>
    </xf>
    <xf numFmtId="182" fontId="28" fillId="0" borderId="10" xfId="0" applyNumberFormat="1" applyFont="1" applyFill="1" applyBorder="1" applyAlignment="1">
      <alignment horizontal="center" wrapText="1"/>
    </xf>
    <xf numFmtId="182" fontId="28" fillId="0" borderId="10" xfId="74" applyNumberFormat="1" applyFont="1" applyBorder="1" applyAlignment="1">
      <alignment horizontal="center" wrapText="1"/>
      <protection/>
    </xf>
    <xf numFmtId="0" fontId="28" fillId="24" borderId="10" xfId="74" applyNumberFormat="1" applyFont="1" applyFill="1" applyBorder="1" applyAlignment="1">
      <alignment horizontal="center" wrapText="1"/>
      <protection/>
    </xf>
    <xf numFmtId="0" fontId="28" fillId="24" borderId="10" xfId="74" applyNumberFormat="1" applyFont="1" applyFill="1" applyBorder="1" applyAlignment="1" quotePrefix="1">
      <alignment horizontal="center" wrapText="1"/>
      <protection/>
    </xf>
    <xf numFmtId="0" fontId="28" fillId="24" borderId="10" xfId="0" applyFont="1" applyFill="1" applyBorder="1" applyAlignment="1">
      <alignment horizontal="center" wrapText="1"/>
    </xf>
    <xf numFmtId="0" fontId="28" fillId="0" borderId="10" xfId="0" applyFont="1" applyBorder="1" applyAlignment="1">
      <alignment horizontal="center" wrapText="1"/>
    </xf>
    <xf numFmtId="0" fontId="29" fillId="24" borderId="10" xfId="0" applyFont="1" applyFill="1" applyBorder="1" applyAlignment="1">
      <alignment horizontal="center" wrapText="1"/>
    </xf>
    <xf numFmtId="0" fontId="29" fillId="25" borderId="10" xfId="74" applyFont="1" applyFill="1" applyBorder="1" applyAlignment="1">
      <alignment horizontal="center" wrapText="1"/>
      <protection/>
    </xf>
    <xf numFmtId="185" fontId="27" fillId="0" borderId="10" xfId="0" applyNumberFormat="1" applyFont="1" applyFill="1" applyBorder="1" applyAlignment="1">
      <alignment horizontal="center" wrapText="1"/>
    </xf>
    <xf numFmtId="0" fontId="4" fillId="0" borderId="0" xfId="0" applyFont="1" applyAlignment="1">
      <alignment/>
    </xf>
    <xf numFmtId="0" fontId="0" fillId="0" borderId="25" xfId="0" applyBorder="1" applyAlignment="1">
      <alignment horizontal="center"/>
    </xf>
    <xf numFmtId="0" fontId="31" fillId="20" borderId="26" xfId="0" applyFont="1" applyFill="1" applyBorder="1" applyAlignment="1">
      <alignment horizontal="center" wrapText="1"/>
    </xf>
    <xf numFmtId="182" fontId="31" fillId="20" borderId="27" xfId="0" applyNumberFormat="1" applyFont="1" applyFill="1" applyBorder="1" applyAlignment="1">
      <alignment horizontal="center" wrapText="1"/>
    </xf>
    <xf numFmtId="0" fontId="28" fillId="0" borderId="15" xfId="74" applyNumberFormat="1" applyFont="1" applyFill="1" applyBorder="1" applyAlignment="1" quotePrefix="1">
      <alignment horizontal="center" wrapText="1"/>
      <protection/>
    </xf>
    <xf numFmtId="0" fontId="28" fillId="0" borderId="15" xfId="0" applyFont="1" applyFill="1" applyBorder="1" applyAlignment="1">
      <alignment horizontal="center" wrapText="1"/>
    </xf>
    <xf numFmtId="0" fontId="28" fillId="0" borderId="15" xfId="74" applyNumberFormat="1" applyFont="1" applyBorder="1" applyAlignment="1" quotePrefix="1">
      <alignment horizontal="center" wrapText="1"/>
      <protection/>
    </xf>
    <xf numFmtId="0" fontId="28" fillId="0" borderId="28" xfId="74" applyNumberFormat="1" applyFont="1" applyFill="1" applyBorder="1" applyAlignment="1" quotePrefix="1">
      <alignment horizontal="center" wrapText="1"/>
      <protection/>
    </xf>
    <xf numFmtId="0" fontId="28" fillId="0" borderId="29" xfId="74" applyNumberFormat="1" applyFont="1" applyBorder="1" applyAlignment="1" quotePrefix="1">
      <alignment horizontal="center" wrapText="1"/>
      <protection/>
    </xf>
    <xf numFmtId="182" fontId="28" fillId="0" borderId="29" xfId="0" applyNumberFormat="1" applyFont="1" applyFill="1" applyBorder="1" applyAlignment="1">
      <alignment horizontal="center" wrapText="1"/>
    </xf>
    <xf numFmtId="0" fontId="28" fillId="0" borderId="29" xfId="0" applyFont="1" applyFill="1" applyBorder="1" applyAlignment="1">
      <alignment horizontal="center" wrapText="1"/>
    </xf>
    <xf numFmtId="0" fontId="28" fillId="0" borderId="26" xfId="74" applyNumberFormat="1" applyFont="1" applyFill="1" applyBorder="1" applyAlignment="1" quotePrefix="1">
      <alignment horizontal="center" wrapText="1"/>
      <protection/>
    </xf>
    <xf numFmtId="0" fontId="28" fillId="0" borderId="27" xfId="74" applyNumberFormat="1" applyFont="1" applyBorder="1" applyAlignment="1" quotePrefix="1">
      <alignment horizontal="center" wrapText="1"/>
      <protection/>
    </xf>
    <xf numFmtId="182" fontId="28" fillId="0" borderId="27" xfId="0" applyNumberFormat="1" applyFont="1" applyFill="1" applyBorder="1" applyAlignment="1">
      <alignment horizontal="center" wrapText="1"/>
    </xf>
    <xf numFmtId="0" fontId="28" fillId="0" borderId="27" xfId="0" applyFont="1" applyFill="1" applyBorder="1" applyAlignment="1">
      <alignment horizontal="center" wrapText="1"/>
    </xf>
    <xf numFmtId="0" fontId="28" fillId="0" borderId="28" xfId="0" applyFont="1" applyFill="1" applyBorder="1" applyAlignment="1">
      <alignment horizontal="center" wrapText="1"/>
    </xf>
    <xf numFmtId="0" fontId="28" fillId="0" borderId="26" xfId="0" applyFont="1" applyFill="1" applyBorder="1" applyAlignment="1">
      <alignment horizontal="center" wrapText="1"/>
    </xf>
    <xf numFmtId="0" fontId="28" fillId="24" borderId="29" xfId="74" applyNumberFormat="1" applyFont="1" applyFill="1" applyBorder="1" applyAlignment="1">
      <alignment horizontal="center" wrapText="1"/>
      <protection/>
    </xf>
    <xf numFmtId="0" fontId="28" fillId="24" borderId="29" xfId="74" applyNumberFormat="1" applyFont="1" applyFill="1" applyBorder="1" applyAlignment="1" quotePrefix="1">
      <alignment horizontal="center" wrapText="1"/>
      <protection/>
    </xf>
    <xf numFmtId="0" fontId="28" fillId="0" borderId="27" xfId="0" applyFont="1" applyBorder="1" applyAlignment="1">
      <alignment horizontal="center" wrapText="1"/>
    </xf>
    <xf numFmtId="0" fontId="28" fillId="0" borderId="15" xfId="74" applyFont="1" applyFill="1" applyBorder="1" applyAlignment="1">
      <alignment horizontal="center" wrapText="1"/>
      <protection/>
    </xf>
    <xf numFmtId="0" fontId="28" fillId="24" borderId="27" xfId="0" applyFont="1" applyFill="1" applyBorder="1" applyAlignment="1">
      <alignment horizontal="center" wrapText="1"/>
    </xf>
    <xf numFmtId="0" fontId="28" fillId="0" borderId="28" xfId="74" applyFont="1" applyFill="1" applyBorder="1" applyAlignment="1">
      <alignment horizontal="center" wrapText="1"/>
      <protection/>
    </xf>
    <xf numFmtId="0" fontId="28" fillId="24" borderId="27" xfId="74" applyNumberFormat="1" applyFont="1" applyFill="1" applyBorder="1" applyAlignment="1">
      <alignment horizontal="center" wrapText="1"/>
      <protection/>
    </xf>
    <xf numFmtId="0" fontId="28" fillId="24" borderId="27" xfId="74" applyNumberFormat="1" applyFont="1" applyFill="1" applyBorder="1" applyAlignment="1" quotePrefix="1">
      <alignment horizontal="center" wrapText="1"/>
      <protection/>
    </xf>
    <xf numFmtId="0" fontId="27" fillId="0" borderId="15" xfId="0" applyNumberFormat="1" applyFont="1" applyFill="1" applyBorder="1" applyAlignment="1">
      <alignment horizontal="center" wrapText="1"/>
    </xf>
    <xf numFmtId="0" fontId="28" fillId="24" borderId="29" xfId="0" applyFont="1" applyFill="1" applyBorder="1" applyAlignment="1">
      <alignment horizontal="center" wrapText="1"/>
    </xf>
    <xf numFmtId="0" fontId="0" fillId="0" borderId="30" xfId="0" applyBorder="1" applyAlignment="1">
      <alignment horizontal="center"/>
    </xf>
    <xf numFmtId="0" fontId="1" fillId="0" borderId="31" xfId="0" applyFont="1" applyBorder="1" applyAlignment="1">
      <alignment horizontal="center"/>
    </xf>
    <xf numFmtId="0" fontId="3" fillId="0" borderId="18" xfId="0" applyFont="1" applyBorder="1" applyAlignment="1">
      <alignment horizontal="center"/>
    </xf>
    <xf numFmtId="0" fontId="3" fillId="0" borderId="32" xfId="0" applyFont="1" applyBorder="1" applyAlignment="1">
      <alignment horizontal="center"/>
    </xf>
    <xf numFmtId="0" fontId="0" fillId="0" borderId="0" xfId="0" applyBorder="1" applyAlignment="1">
      <alignment/>
    </xf>
    <xf numFmtId="1" fontId="7" fillId="0" borderId="0" xfId="75" applyNumberFormat="1" applyFont="1" applyFill="1" applyBorder="1" applyAlignment="1">
      <alignment horizontal="center" vertical="center"/>
      <protection/>
    </xf>
    <xf numFmtId="0" fontId="31" fillId="20" borderId="16" xfId="0" applyFont="1" applyFill="1" applyBorder="1" applyAlignment="1">
      <alignment horizontal="center" wrapText="1"/>
    </xf>
    <xf numFmtId="4" fontId="0" fillId="0" borderId="0" xfId="0" applyNumberFormat="1" applyBorder="1" applyAlignment="1">
      <alignment horizontal="center"/>
    </xf>
    <xf numFmtId="0" fontId="1" fillId="0" borderId="0" xfId="0" applyFont="1" applyBorder="1" applyAlignment="1">
      <alignment horizontal="center"/>
    </xf>
    <xf numFmtId="0" fontId="1" fillId="0" borderId="10" xfId="0" applyFont="1" applyBorder="1" applyAlignment="1">
      <alignment/>
    </xf>
    <xf numFmtId="0" fontId="31" fillId="20" borderId="13" xfId="0" applyFont="1" applyFill="1" applyBorder="1" applyAlignment="1">
      <alignment horizontal="center" wrapText="1"/>
    </xf>
    <xf numFmtId="182" fontId="31" fillId="20" borderId="11" xfId="0" applyNumberFormat="1" applyFont="1" applyFill="1" applyBorder="1" applyAlignment="1">
      <alignment horizontal="center" wrapText="1"/>
    </xf>
    <xf numFmtId="0" fontId="1" fillId="0" borderId="33" xfId="0" applyFont="1" applyBorder="1" applyAlignment="1">
      <alignment horizontal="center" wrapText="1"/>
    </xf>
    <xf numFmtId="0" fontId="8" fillId="0" borderId="13" xfId="0" applyFont="1" applyBorder="1" applyAlignment="1">
      <alignment horizontal="center"/>
    </xf>
    <xf numFmtId="0" fontId="8" fillId="0" borderId="11" xfId="0" applyFont="1" applyBorder="1" applyAlignment="1">
      <alignment horizontal="left"/>
    </xf>
    <xf numFmtId="4" fontId="0" fillId="0" borderId="10" xfId="0" applyNumberFormat="1" applyBorder="1" applyAlignment="1">
      <alignment horizontal="center"/>
    </xf>
    <xf numFmtId="0" fontId="0" fillId="0" borderId="10" xfId="0" applyFont="1" applyBorder="1" applyAlignment="1">
      <alignment horizontal="center"/>
    </xf>
    <xf numFmtId="4" fontId="0" fillId="0" borderId="10" xfId="0" applyNumberFormat="1" applyFill="1" applyBorder="1" applyAlignment="1">
      <alignment horizontal="center"/>
    </xf>
    <xf numFmtId="0" fontId="1" fillId="0" borderId="13" xfId="0" applyFont="1" applyFill="1" applyBorder="1" applyAlignment="1">
      <alignment horizontal="center"/>
    </xf>
    <xf numFmtId="0" fontId="0" fillId="0" borderId="30" xfId="0" applyFill="1" applyBorder="1" applyAlignment="1">
      <alignment horizontal="center"/>
    </xf>
    <xf numFmtId="1" fontId="7" fillId="0" borderId="30" xfId="75" applyNumberFormat="1" applyFont="1" applyFill="1" applyBorder="1" applyAlignment="1">
      <alignment horizontal="center" vertical="center"/>
      <protection/>
    </xf>
    <xf numFmtId="0" fontId="0" fillId="0" borderId="22" xfId="0" applyBorder="1" applyAlignment="1">
      <alignment wrapText="1"/>
    </xf>
    <xf numFmtId="0" fontId="31" fillId="20" borderId="22" xfId="0" applyFont="1" applyFill="1" applyBorder="1" applyAlignment="1">
      <alignment horizontal="center" wrapText="1"/>
    </xf>
    <xf numFmtId="185" fontId="28" fillId="0" borderId="30" xfId="0" applyNumberFormat="1" applyFont="1" applyFill="1" applyBorder="1" applyAlignment="1">
      <alignment horizontal="center" wrapText="1"/>
    </xf>
    <xf numFmtId="185" fontId="28" fillId="0" borderId="34" xfId="0" applyNumberFormat="1" applyFont="1" applyFill="1" applyBorder="1" applyAlignment="1">
      <alignment horizontal="center" wrapText="1"/>
    </xf>
    <xf numFmtId="185" fontId="28" fillId="0" borderId="35" xfId="0" applyNumberFormat="1" applyFont="1" applyFill="1" applyBorder="1" applyAlignment="1">
      <alignment horizontal="center" wrapText="1"/>
    </xf>
    <xf numFmtId="4" fontId="8" fillId="0" borderId="0" xfId="0" applyNumberFormat="1" applyFont="1" applyBorder="1" applyAlignment="1">
      <alignment horizontal="center"/>
    </xf>
    <xf numFmtId="4" fontId="5" fillId="0" borderId="0" xfId="0" applyNumberFormat="1" applyFont="1" applyBorder="1" applyAlignment="1">
      <alignment/>
    </xf>
    <xf numFmtId="0" fontId="5" fillId="0" borderId="0" xfId="0" applyFont="1" applyBorder="1" applyAlignment="1">
      <alignment/>
    </xf>
    <xf numFmtId="0" fontId="0" fillId="0" borderId="0" xfId="0" applyAlignment="1">
      <alignment/>
    </xf>
    <xf numFmtId="0" fontId="0" fillId="0" borderId="0" xfId="0" applyFont="1" applyBorder="1" applyAlignment="1">
      <alignment/>
    </xf>
    <xf numFmtId="0" fontId="0" fillId="0" borderId="10" xfId="0" applyFill="1" applyBorder="1" applyAlignment="1">
      <alignment horizontal="center" wrapText="1"/>
    </xf>
    <xf numFmtId="0" fontId="0" fillId="0" borderId="10" xfId="0" applyFill="1" applyBorder="1" applyAlignment="1">
      <alignment horizontal="right"/>
    </xf>
    <xf numFmtId="0" fontId="0" fillId="0" borderId="10" xfId="0" applyFill="1" applyBorder="1" applyAlignment="1">
      <alignment horizontal="center"/>
    </xf>
    <xf numFmtId="0" fontId="0" fillId="0" borderId="10" xfId="0" applyFill="1" applyBorder="1" applyAlignment="1">
      <alignment/>
    </xf>
    <xf numFmtId="0" fontId="0" fillId="0" borderId="0" xfId="0" applyFill="1" applyBorder="1" applyAlignment="1">
      <alignment/>
    </xf>
    <xf numFmtId="0" fontId="0" fillId="0" borderId="0" xfId="0" applyFill="1" applyAlignment="1">
      <alignment/>
    </xf>
    <xf numFmtId="0" fontId="0" fillId="0" borderId="15" xfId="0" applyFill="1" applyBorder="1" applyAlignment="1">
      <alignment/>
    </xf>
    <xf numFmtId="4" fontId="0" fillId="0" borderId="36" xfId="0" applyNumberFormat="1" applyBorder="1" applyAlignment="1">
      <alignment horizontal="center"/>
    </xf>
    <xf numFmtId="4" fontId="0" fillId="0" borderId="36" xfId="0" applyNumberFormat="1" applyFill="1" applyBorder="1" applyAlignment="1">
      <alignment horizontal="center"/>
    </xf>
    <xf numFmtId="4" fontId="8" fillId="0" borderId="11" xfId="0" applyNumberFormat="1" applyFont="1" applyBorder="1" applyAlignment="1">
      <alignment horizontal="center"/>
    </xf>
    <xf numFmtId="1" fontId="7" fillId="0" borderId="11" xfId="75" applyNumberFormat="1" applyFont="1" applyFill="1" applyBorder="1" applyAlignment="1">
      <alignment horizontal="center" vertical="center"/>
      <protection/>
    </xf>
    <xf numFmtId="0" fontId="0" fillId="0" borderId="36" xfId="0" applyBorder="1" applyAlignment="1">
      <alignment horizontal="center"/>
    </xf>
    <xf numFmtId="0" fontId="0" fillId="0" borderId="21" xfId="0" applyBorder="1" applyAlignment="1">
      <alignment/>
    </xf>
    <xf numFmtId="0" fontId="5" fillId="0" borderId="37" xfId="0" applyFont="1" applyBorder="1" applyAlignment="1">
      <alignment horizontal="center"/>
    </xf>
    <xf numFmtId="0" fontId="5" fillId="0" borderId="38" xfId="0" applyFont="1" applyBorder="1" applyAlignment="1">
      <alignment horizontal="center"/>
    </xf>
    <xf numFmtId="0" fontId="6" fillId="0" borderId="10" xfId="75" applyFont="1" applyFill="1" applyBorder="1" applyAlignment="1">
      <alignment horizontal="left" vertical="center"/>
      <protection/>
    </xf>
    <xf numFmtId="0" fontId="5" fillId="0" borderId="39" xfId="0" applyFont="1" applyBorder="1" applyAlignment="1">
      <alignment horizontal="center"/>
    </xf>
    <xf numFmtId="0" fontId="3" fillId="0" borderId="39"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30" fillId="0" borderId="38" xfId="0" applyFont="1" applyBorder="1" applyAlignment="1">
      <alignment horizontal="center" wrapText="1"/>
    </xf>
    <xf numFmtId="0" fontId="3" fillId="0" borderId="0" xfId="0" applyFont="1" applyFill="1" applyAlignment="1">
      <alignment horizontal="left"/>
    </xf>
    <xf numFmtId="0" fontId="5" fillId="0" borderId="37" xfId="0" applyFont="1" applyBorder="1" applyAlignment="1">
      <alignment horizontal="center" wrapText="1"/>
    </xf>
    <xf numFmtId="0" fontId="5" fillId="0" borderId="38" xfId="0" applyFont="1" applyBorder="1" applyAlignment="1">
      <alignment horizontal="center" wrapText="1"/>
    </xf>
    <xf numFmtId="0" fontId="3" fillId="0" borderId="37" xfId="0" applyFont="1" applyBorder="1" applyAlignment="1">
      <alignment horizontal="center" wrapText="1"/>
    </xf>
    <xf numFmtId="0" fontId="1" fillId="0" borderId="0" xfId="0" applyFont="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32" fillId="0" borderId="42" xfId="0" applyFont="1" applyBorder="1" applyAlignment="1">
      <alignment horizontal="center" wrapText="1"/>
    </xf>
    <xf numFmtId="0" fontId="32" fillId="0" borderId="37" xfId="0" applyFont="1" applyBorder="1" applyAlignment="1">
      <alignment horizontal="center" wrapText="1"/>
    </xf>
    <xf numFmtId="0" fontId="32" fillId="0" borderId="43" xfId="0" applyFont="1" applyBorder="1" applyAlignment="1">
      <alignment horizontal="center" wrapText="1"/>
    </xf>
    <xf numFmtId="0" fontId="31" fillId="20" borderId="35" xfId="0" applyFont="1" applyFill="1" applyBorder="1" applyAlignment="1">
      <alignment horizontal="center" wrapText="1"/>
    </xf>
    <xf numFmtId="0" fontId="31" fillId="20" borderId="41" xfId="0" applyFont="1" applyFill="1" applyBorder="1" applyAlignment="1">
      <alignment horizontal="center" wrapText="1"/>
    </xf>
    <xf numFmtId="0" fontId="31" fillId="20" borderId="44" xfId="0" applyFont="1" applyFill="1" applyBorder="1" applyAlignment="1">
      <alignment horizontal="center" wrapText="1"/>
    </xf>
    <xf numFmtId="0" fontId="5" fillId="0" borderId="45" xfId="0" applyFont="1" applyBorder="1" applyAlignment="1">
      <alignment horizontal="center"/>
    </xf>
    <xf numFmtId="0" fontId="5" fillId="0" borderId="46" xfId="0" applyFont="1" applyBorder="1" applyAlignment="1">
      <alignment horizontal="center"/>
    </xf>
    <xf numFmtId="1" fontId="7" fillId="0" borderId="10" xfId="75" applyNumberFormat="1" applyFont="1" applyFill="1" applyBorder="1" applyAlignment="1">
      <alignment horizontal="center" vertical="center"/>
      <protection/>
    </xf>
    <xf numFmtId="0" fontId="0" fillId="0" borderId="47" xfId="0" applyBorder="1" applyAlignment="1">
      <alignment wrapText="1"/>
    </xf>
    <xf numFmtId="4" fontId="0" fillId="0" borderId="12" xfId="0" applyNumberFormat="1" applyFill="1" applyBorder="1" applyAlignment="1">
      <alignment horizontal="center"/>
    </xf>
    <xf numFmtId="4" fontId="0" fillId="0" borderId="12" xfId="0" applyNumberFormat="1" applyBorder="1" applyAlignment="1">
      <alignment horizontal="center"/>
    </xf>
    <xf numFmtId="0" fontId="0" fillId="0" borderId="12" xfId="0" applyFont="1" applyBorder="1" applyAlignment="1">
      <alignment horizontal="center"/>
    </xf>
    <xf numFmtId="1" fontId="7" fillId="0" borderId="11" xfId="75" applyNumberFormat="1" applyFont="1" applyFill="1" applyBorder="1" applyAlignment="1">
      <alignment vertical="center"/>
      <protection/>
    </xf>
    <xf numFmtId="1" fontId="7" fillId="0" borderId="21" xfId="75" applyNumberFormat="1" applyFont="1" applyFill="1" applyBorder="1" applyAlignment="1">
      <alignment horizontal="center" vertical="center"/>
      <protection/>
    </xf>
    <xf numFmtId="0" fontId="5" fillId="0" borderId="20" xfId="0" applyFont="1" applyBorder="1" applyAlignment="1">
      <alignment horizontal="center"/>
    </xf>
    <xf numFmtId="0" fontId="1" fillId="0" borderId="12" xfId="0" applyFont="1" applyBorder="1" applyAlignment="1">
      <alignment/>
    </xf>
    <xf numFmtId="0" fontId="1" fillId="0" borderId="12" xfId="0" applyFont="1" applyBorder="1" applyAlignment="1">
      <alignment horizontal="center"/>
    </xf>
    <xf numFmtId="4" fontId="1" fillId="0" borderId="11" xfId="0" applyNumberFormat="1" applyFont="1" applyBorder="1" applyAlignment="1">
      <alignment horizontal="center"/>
    </xf>
    <xf numFmtId="4" fontId="0" fillId="0" borderId="48" xfId="0" applyNumberFormat="1" applyBorder="1" applyAlignment="1">
      <alignment horizontal="center"/>
    </xf>
    <xf numFmtId="185" fontId="27" fillId="0" borderId="30" xfId="0" applyNumberFormat="1" applyFont="1" applyFill="1" applyBorder="1" applyAlignment="1">
      <alignment horizontal="center" wrapText="1"/>
    </xf>
    <xf numFmtId="1" fontId="34" fillId="0" borderId="0" xfId="75" applyNumberFormat="1" applyFont="1" applyFill="1" applyBorder="1" applyAlignment="1">
      <alignment horizontal="center" vertical="center"/>
      <protection/>
    </xf>
    <xf numFmtId="4" fontId="5" fillId="0" borderId="0" xfId="0" applyNumberFormat="1" applyFont="1" applyBorder="1" applyAlignment="1">
      <alignment horizontal="center"/>
    </xf>
    <xf numFmtId="0" fontId="0" fillId="0" borderId="10" xfId="0" applyFill="1" applyBorder="1" applyAlignment="1">
      <alignment wrapText="1"/>
    </xf>
    <xf numFmtId="0" fontId="0" fillId="0" borderId="10" xfId="0" applyFont="1" applyFill="1" applyBorder="1" applyAlignment="1">
      <alignment horizontal="center"/>
    </xf>
    <xf numFmtId="4" fontId="0" fillId="0" borderId="11" xfId="0" applyNumberFormat="1" applyBorder="1" applyAlignment="1">
      <alignment horizontal="center"/>
    </xf>
    <xf numFmtId="0" fontId="5" fillId="0" borderId="0" xfId="0" applyFont="1" applyAlignment="1">
      <alignment/>
    </xf>
    <xf numFmtId="1" fontId="34" fillId="0" borderId="0" xfId="75" applyNumberFormat="1" applyFont="1" applyFill="1" applyBorder="1" applyAlignment="1">
      <alignment horizontal="right" vertical="center"/>
      <protection/>
    </xf>
    <xf numFmtId="0" fontId="35" fillId="0" borderId="10" xfId="0" applyFont="1" applyBorder="1" applyAlignment="1">
      <alignment horizontal="center"/>
    </xf>
    <xf numFmtId="1" fontId="7" fillId="0" borderId="0" xfId="75" applyNumberFormat="1" applyFont="1" applyFill="1" applyBorder="1" applyAlignment="1">
      <alignment vertical="center"/>
      <protection/>
    </xf>
    <xf numFmtId="0" fontId="3" fillId="0" borderId="46" xfId="0" applyFont="1" applyBorder="1" applyAlignment="1">
      <alignment horizontal="center" wrapText="1"/>
    </xf>
    <xf numFmtId="0" fontId="3" fillId="0" borderId="10" xfId="0" applyFont="1" applyBorder="1" applyAlignment="1">
      <alignment horizontal="center" wrapText="1"/>
    </xf>
    <xf numFmtId="0" fontId="36" fillId="0" borderId="0" xfId="0" applyFont="1" applyBorder="1" applyAlignment="1">
      <alignment/>
    </xf>
    <xf numFmtId="0" fontId="36" fillId="0" borderId="0" xfId="0" applyFont="1" applyAlignment="1">
      <alignment/>
    </xf>
    <xf numFmtId="0" fontId="0" fillId="0" borderId="0" xfId="0" applyBorder="1" applyAlignment="1">
      <alignment horizontal="left" vertical="center" wrapText="1"/>
    </xf>
    <xf numFmtId="0" fontId="0" fillId="0" borderId="25" xfId="0" applyBorder="1" applyAlignment="1">
      <alignment horizontal="left" vertical="center" wrapText="1"/>
    </xf>
    <xf numFmtId="0" fontId="5" fillId="20" borderId="39" xfId="0" applyFont="1" applyFill="1" applyBorder="1" applyAlignment="1">
      <alignment horizontal="center" wrapText="1"/>
    </xf>
    <xf numFmtId="0" fontId="5" fillId="20" borderId="37" xfId="0" applyFont="1" applyFill="1" applyBorder="1" applyAlignment="1">
      <alignment horizontal="center" wrapText="1"/>
    </xf>
    <xf numFmtId="0" fontId="5" fillId="20" borderId="38" xfId="0" applyFont="1" applyFill="1" applyBorder="1" applyAlignment="1">
      <alignment horizontal="center" wrapText="1"/>
    </xf>
    <xf numFmtId="0" fontId="5" fillId="0" borderId="39" xfId="0" applyFont="1" applyBorder="1" applyAlignment="1">
      <alignment horizontal="center"/>
    </xf>
    <xf numFmtId="0" fontId="5" fillId="0" borderId="37" xfId="0" applyFont="1" applyBorder="1" applyAlignment="1">
      <alignment horizontal="center"/>
    </xf>
    <xf numFmtId="0" fontId="0" fillId="0" borderId="21" xfId="0" applyBorder="1" applyAlignment="1">
      <alignment horizontal="center"/>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0" fillId="0" borderId="13" xfId="0" applyBorder="1" applyAlignment="1">
      <alignment horizontal="center" vertical="center" wrapText="1"/>
    </xf>
    <xf numFmtId="0" fontId="1" fillId="0" borderId="33" xfId="0" applyFont="1" applyBorder="1" applyAlignment="1">
      <alignment horizontal="center" wrapText="1"/>
    </xf>
    <xf numFmtId="0" fontId="0" fillId="0" borderId="15" xfId="0" applyBorder="1" applyAlignment="1">
      <alignment horizontal="center" vertical="center" wrapText="1"/>
    </xf>
    <xf numFmtId="0" fontId="1" fillId="0" borderId="13" xfId="0" applyFont="1" applyBorder="1" applyAlignment="1">
      <alignment horizontal="center"/>
    </xf>
    <xf numFmtId="0" fontId="1" fillId="0" borderId="15" xfId="0"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8" fillId="0" borderId="11"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1" fillId="0" borderId="45" xfId="0" applyFont="1" applyBorder="1" applyAlignment="1">
      <alignment horizontal="center"/>
    </xf>
    <xf numFmtId="0" fontId="1" fillId="0" borderId="50" xfId="0" applyFont="1" applyBorder="1" applyAlignment="1">
      <alignment horizontal="center"/>
    </xf>
    <xf numFmtId="0" fontId="6" fillId="0" borderId="15" xfId="75" applyFont="1" applyFill="1" applyBorder="1" applyAlignment="1">
      <alignment horizontal="left" vertical="center"/>
      <protection/>
    </xf>
    <xf numFmtId="0" fontId="6" fillId="0" borderId="10" xfId="75" applyFont="1" applyFill="1" applyBorder="1" applyAlignment="1">
      <alignment horizontal="left" vertical="center"/>
      <protection/>
    </xf>
    <xf numFmtId="0" fontId="1" fillId="0" borderId="51" xfId="0" applyFont="1" applyBorder="1" applyAlignment="1">
      <alignment horizontal="center" wrapText="1"/>
    </xf>
    <xf numFmtId="0" fontId="0" fillId="0" borderId="17" xfId="0" applyBorder="1" applyAlignment="1">
      <alignment horizontal="left" vertical="center" wrapText="1"/>
    </xf>
    <xf numFmtId="0" fontId="5" fillId="0" borderId="38" xfId="0" applyFont="1" applyBorder="1" applyAlignment="1">
      <alignment horizontal="center"/>
    </xf>
    <xf numFmtId="0" fontId="8" fillId="0" borderId="52" xfId="0" applyFont="1" applyBorder="1" applyAlignment="1">
      <alignment horizontal="center" wrapText="1"/>
    </xf>
    <xf numFmtId="0" fontId="8" fillId="0" borderId="11" xfId="0" applyFont="1" applyBorder="1" applyAlignment="1">
      <alignment horizontal="center" wrapText="1"/>
    </xf>
    <xf numFmtId="0" fontId="8" fillId="0" borderId="53" xfId="0" applyFont="1" applyBorder="1" applyAlignment="1">
      <alignment horizontal="center" wrapText="1"/>
    </xf>
    <xf numFmtId="0" fontId="8" fillId="0" borderId="16" xfId="0" applyFont="1" applyBorder="1" applyAlignment="1">
      <alignment horizontal="center" wrapText="1"/>
    </xf>
    <xf numFmtId="1" fontId="7" fillId="0" borderId="10" xfId="75" applyNumberFormat="1" applyFont="1" applyFill="1" applyBorder="1" applyAlignment="1">
      <alignment horizontal="center" vertical="center"/>
      <protection/>
    </xf>
    <xf numFmtId="0" fontId="1" fillId="0" borderId="0" xfId="0" applyFont="1" applyAlignment="1">
      <alignment horizontal="center"/>
    </xf>
    <xf numFmtId="0" fontId="1" fillId="0" borderId="0" xfId="0" applyFont="1" applyBorder="1" applyAlignment="1">
      <alignment horizontal="center"/>
    </xf>
    <xf numFmtId="1" fontId="7" fillId="0" borderId="0" xfId="75" applyNumberFormat="1" applyFont="1" applyFill="1" applyBorder="1" applyAlignment="1">
      <alignment horizontal="center" vertical="center"/>
      <protection/>
    </xf>
    <xf numFmtId="0" fontId="33" fillId="0" borderId="0" xfId="0" applyFont="1" applyAlignment="1">
      <alignment horizontal="right"/>
    </xf>
    <xf numFmtId="0" fontId="5" fillId="0" borderId="0" xfId="0" applyFont="1" applyAlignment="1">
      <alignment horizontal="center"/>
    </xf>
    <xf numFmtId="1" fontId="34" fillId="0" borderId="0" xfId="75" applyNumberFormat="1" applyFont="1" applyFill="1" applyBorder="1" applyAlignment="1">
      <alignment horizontal="right" vertical="center"/>
      <protection/>
    </xf>
    <xf numFmtId="0" fontId="0" fillId="0" borderId="17" xfId="0" applyNumberFormat="1" applyBorder="1" applyAlignment="1">
      <alignment horizontal="left" vertical="center" wrapText="1"/>
    </xf>
    <xf numFmtId="0" fontId="0" fillId="0" borderId="0" xfId="0" applyBorder="1" applyAlignment="1">
      <alignment vertical="center"/>
    </xf>
    <xf numFmtId="0" fontId="0" fillId="0" borderId="25" xfId="0" applyBorder="1" applyAlignment="1">
      <alignment vertical="center"/>
    </xf>
    <xf numFmtId="0" fontId="3" fillId="0" borderId="39" xfId="0" applyFont="1" applyBorder="1" applyAlignment="1">
      <alignment horizontal="center" wrapText="1"/>
    </xf>
    <xf numFmtId="0" fontId="3" fillId="0" borderId="37" xfId="0" applyFont="1" applyBorder="1" applyAlignment="1">
      <alignment horizontal="center" wrapText="1"/>
    </xf>
    <xf numFmtId="0" fontId="5" fillId="0" borderId="39" xfId="0" applyFont="1" applyBorder="1" applyAlignment="1">
      <alignment horizontal="center" wrapText="1"/>
    </xf>
    <xf numFmtId="0" fontId="5" fillId="0" borderId="37" xfId="0" applyFont="1" applyBorder="1" applyAlignment="1">
      <alignment horizontal="center" wrapText="1"/>
    </xf>
    <xf numFmtId="0" fontId="30" fillId="0" borderId="39" xfId="0" applyFont="1" applyBorder="1" applyAlignment="1">
      <alignment horizontal="center" wrapText="1"/>
    </xf>
    <xf numFmtId="0" fontId="30" fillId="0" borderId="37" xfId="0" applyFont="1" applyBorder="1" applyAlignment="1">
      <alignment horizontal="center"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uro"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rmal_Sheet1" xfId="74"/>
    <cellStyle name="Normal_ΕΠΙΠΛΑ ΘΕΣΣΑΛΟΝΙΚΗΣ" xfId="75"/>
    <cellStyle name="Note" xfId="76"/>
    <cellStyle name="Output" xfId="77"/>
    <cellStyle name="Percent" xfId="78"/>
    <cellStyle name="Title" xfId="79"/>
    <cellStyle name="Total" xfId="80"/>
    <cellStyle name="Warning Text" xfId="81"/>
    <cellStyle name="Βασικό_Φύλλο1" xfId="82"/>
    <cellStyle name="Εισαγωγή" xfId="83"/>
    <cellStyle name="Έλεγχος κελιού" xfId="84"/>
    <cellStyle name="Έμφαση1" xfId="85"/>
    <cellStyle name="Έμφαση2" xfId="86"/>
    <cellStyle name="Έμφαση3" xfId="87"/>
    <cellStyle name="Έμφαση4" xfId="88"/>
    <cellStyle name="Έμφαση5" xfId="89"/>
    <cellStyle name="Έμφαση6" xfId="90"/>
    <cellStyle name="Έξοδος" xfId="91"/>
    <cellStyle name="Επεξηγηματικό κείμενο" xfId="92"/>
    <cellStyle name="Επικεφαλίδα 1" xfId="93"/>
    <cellStyle name="Επικεφαλίδα 2" xfId="94"/>
    <cellStyle name="Επικεφαλίδα 3" xfId="95"/>
    <cellStyle name="Επικεφαλίδα 4" xfId="96"/>
    <cellStyle name="Κακό" xfId="97"/>
    <cellStyle name="Καλό" xfId="98"/>
    <cellStyle name="Ουδέτερο" xfId="99"/>
    <cellStyle name="Προειδοποιητικό κείμενο" xfId="100"/>
    <cellStyle name="Σημείωση" xfId="101"/>
    <cellStyle name="Συνδεδεμένο κελί" xfId="102"/>
    <cellStyle name="Σύνολο" xfId="103"/>
    <cellStyle name="Τίτλος" xfId="104"/>
    <cellStyle name="Υπολογισμός"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54"/>
  <sheetViews>
    <sheetView tabSelected="1" workbookViewId="0" topLeftCell="A1">
      <selection activeCell="A1" sqref="A1:K2"/>
    </sheetView>
  </sheetViews>
  <sheetFormatPr defaultColWidth="9.140625" defaultRowHeight="12.75"/>
  <cols>
    <col min="1" max="1" width="57.00390625" style="0" customWidth="1"/>
    <col min="2" max="2" width="17.00390625" style="0" customWidth="1"/>
    <col min="3" max="3" width="21.7109375" style="30" customWidth="1"/>
    <col min="4" max="4" width="17.28125" style="0" customWidth="1"/>
    <col min="5" max="5" width="15.57421875" style="2" customWidth="1"/>
    <col min="6" max="6" width="16.421875" style="30" customWidth="1"/>
    <col min="7" max="7" width="18.7109375" style="12" customWidth="1"/>
    <col min="8" max="8" width="16.7109375" style="11" customWidth="1"/>
    <col min="9" max="10" width="9.140625" style="11" hidden="1" customWidth="1"/>
    <col min="11" max="11" width="15.8515625" style="11" customWidth="1"/>
    <col min="12" max="12" width="14.140625" style="11" customWidth="1"/>
    <col min="13" max="24" width="9.140625" style="11" customWidth="1"/>
  </cols>
  <sheetData>
    <row r="1" spans="1:24" s="134" customFormat="1" ht="84.75" customHeight="1">
      <c r="A1" s="216" t="s">
        <v>628</v>
      </c>
      <c r="B1" s="191"/>
      <c r="C1" s="191"/>
      <c r="D1" s="191"/>
      <c r="E1" s="191"/>
      <c r="F1" s="191"/>
      <c r="G1" s="191"/>
      <c r="H1" s="191"/>
      <c r="I1" s="191"/>
      <c r="J1" s="191"/>
      <c r="K1" s="192"/>
      <c r="L1" s="133"/>
      <c r="M1" s="133"/>
      <c r="N1" s="133"/>
      <c r="O1" s="133"/>
      <c r="P1" s="133"/>
      <c r="Q1" s="133"/>
      <c r="R1" s="133"/>
      <c r="S1" s="133"/>
      <c r="T1" s="133"/>
      <c r="U1" s="133"/>
      <c r="V1" s="133"/>
      <c r="W1" s="133"/>
      <c r="X1" s="133"/>
    </row>
    <row r="2" spans="1:24" s="134" customFormat="1" ht="54.75" customHeight="1" thickBot="1">
      <c r="A2" s="229" t="s">
        <v>629</v>
      </c>
      <c r="B2" s="230"/>
      <c r="C2" s="230"/>
      <c r="D2" s="230"/>
      <c r="E2" s="230"/>
      <c r="F2" s="230"/>
      <c r="G2" s="230"/>
      <c r="H2" s="230"/>
      <c r="I2" s="230"/>
      <c r="J2" s="230"/>
      <c r="K2" s="231"/>
      <c r="L2" s="133"/>
      <c r="M2" s="133"/>
      <c r="N2" s="133"/>
      <c r="O2" s="133"/>
      <c r="P2" s="133"/>
      <c r="Q2" s="133"/>
      <c r="R2" s="133"/>
      <c r="S2" s="133"/>
      <c r="T2" s="133"/>
      <c r="U2" s="133"/>
      <c r="V2" s="133"/>
      <c r="W2" s="133"/>
      <c r="X2" s="133"/>
    </row>
    <row r="3" spans="1:11" ht="51" customHeight="1" thickBot="1">
      <c r="A3" s="193" t="s">
        <v>92</v>
      </c>
      <c r="B3" s="194"/>
      <c r="C3" s="194"/>
      <c r="D3" s="194"/>
      <c r="E3" s="194"/>
      <c r="F3" s="194"/>
      <c r="G3" s="194"/>
      <c r="H3" s="194"/>
      <c r="I3" s="194"/>
      <c r="J3" s="194"/>
      <c r="K3" s="195"/>
    </row>
    <row r="4" spans="1:11" ht="51.75" customHeight="1" thickBot="1">
      <c r="A4" s="193" t="s">
        <v>0</v>
      </c>
      <c r="B4" s="194"/>
      <c r="C4" s="194"/>
      <c r="D4" s="194"/>
      <c r="E4" s="194"/>
      <c r="F4" s="194"/>
      <c r="G4" s="194"/>
      <c r="H4" s="194"/>
      <c r="I4" s="194"/>
      <c r="J4" s="194"/>
      <c r="K4" s="195"/>
    </row>
    <row r="5" spans="1:24" s="1" customFormat="1" ht="24" customHeight="1" thickBot="1">
      <c r="A5" s="196" t="s">
        <v>26</v>
      </c>
      <c r="B5" s="197"/>
      <c r="C5" s="197"/>
      <c r="D5" s="197"/>
      <c r="E5" s="197"/>
      <c r="F5" s="197"/>
      <c r="G5" s="197"/>
      <c r="H5" s="197"/>
      <c r="I5" s="197"/>
      <c r="J5" s="197"/>
      <c r="K5" s="217"/>
      <c r="L5" s="38"/>
      <c r="M5" s="38"/>
      <c r="N5" s="38"/>
      <c r="O5" s="38"/>
      <c r="P5" s="38"/>
      <c r="Q5" s="38"/>
      <c r="R5" s="38"/>
      <c r="S5" s="38"/>
      <c r="T5" s="38"/>
      <c r="U5" s="38"/>
      <c r="V5" s="38"/>
      <c r="W5" s="38"/>
      <c r="X5" s="38"/>
    </row>
    <row r="6" spans="1:24" s="1" customFormat="1" ht="46.5" customHeight="1">
      <c r="A6" s="111" t="s">
        <v>28</v>
      </c>
      <c r="B6" s="112"/>
      <c r="C6" s="218" t="s">
        <v>17</v>
      </c>
      <c r="D6" s="208" t="s">
        <v>83</v>
      </c>
      <c r="E6" s="208"/>
      <c r="F6" s="220" t="s">
        <v>3</v>
      </c>
      <c r="G6" s="202" t="s">
        <v>594</v>
      </c>
      <c r="H6" s="202" t="s">
        <v>595</v>
      </c>
      <c r="I6" s="38"/>
      <c r="J6" s="38"/>
      <c r="K6" s="202" t="s">
        <v>602</v>
      </c>
      <c r="L6" s="38"/>
      <c r="M6" s="38"/>
      <c r="N6" s="38"/>
      <c r="O6" s="38"/>
      <c r="P6" s="38"/>
      <c r="Q6" s="38"/>
      <c r="R6" s="38"/>
      <c r="S6" s="38"/>
      <c r="T6" s="38"/>
      <c r="U6" s="38"/>
      <c r="V6" s="38"/>
      <c r="W6" s="38"/>
      <c r="X6" s="38"/>
    </row>
    <row r="7" spans="1:24" s="1" customFormat="1" ht="30">
      <c r="A7" s="52" t="s">
        <v>77</v>
      </c>
      <c r="B7" s="53"/>
      <c r="C7" s="219"/>
      <c r="D7" s="54" t="s">
        <v>84</v>
      </c>
      <c r="E7" s="54" t="s">
        <v>85</v>
      </c>
      <c r="F7" s="221"/>
      <c r="G7" s="202"/>
      <c r="H7" s="202"/>
      <c r="I7" s="38"/>
      <c r="J7" s="38"/>
      <c r="K7" s="202"/>
      <c r="L7" s="38"/>
      <c r="M7" s="38"/>
      <c r="N7" s="38"/>
      <c r="O7" s="38"/>
      <c r="P7" s="38"/>
      <c r="Q7" s="38"/>
      <c r="R7" s="38"/>
      <c r="S7" s="38"/>
      <c r="T7" s="38"/>
      <c r="U7" s="38"/>
      <c r="V7" s="38"/>
      <c r="W7" s="38"/>
      <c r="X7" s="38"/>
    </row>
    <row r="8" spans="1:11" ht="15" customHeight="1">
      <c r="A8" s="199" t="s">
        <v>619</v>
      </c>
      <c r="B8" s="31"/>
      <c r="C8" s="31" t="s">
        <v>65</v>
      </c>
      <c r="D8" s="5">
        <v>41</v>
      </c>
      <c r="E8" s="5">
        <v>10</v>
      </c>
      <c r="F8" s="98">
        <f aca="true" t="shared" si="0" ref="F8:F19">SUM(D8:E8)</f>
        <v>51</v>
      </c>
      <c r="G8" s="113">
        <v>30</v>
      </c>
      <c r="H8" s="113">
        <f aca="true" t="shared" si="1" ref="H8:H23">G8*F8</f>
        <v>1530</v>
      </c>
      <c r="I8" s="4"/>
      <c r="J8" s="4"/>
      <c r="K8" s="114" t="s">
        <v>603</v>
      </c>
    </row>
    <row r="9" spans="1:11" ht="12.75">
      <c r="A9" s="200"/>
      <c r="B9" s="31"/>
      <c r="C9" s="31" t="s">
        <v>66</v>
      </c>
      <c r="D9" s="5">
        <v>2</v>
      </c>
      <c r="E9" s="5">
        <v>3</v>
      </c>
      <c r="F9" s="98">
        <f t="shared" si="0"/>
        <v>5</v>
      </c>
      <c r="G9" s="113">
        <v>35</v>
      </c>
      <c r="H9" s="113">
        <f t="shared" si="1"/>
        <v>175</v>
      </c>
      <c r="I9" s="4"/>
      <c r="J9" s="4"/>
      <c r="K9" s="114" t="s">
        <v>603</v>
      </c>
    </row>
    <row r="10" spans="1:11" ht="12.75">
      <c r="A10" s="200"/>
      <c r="B10" s="31"/>
      <c r="C10" s="31" t="s">
        <v>625</v>
      </c>
      <c r="D10" s="5">
        <v>5</v>
      </c>
      <c r="E10" s="5"/>
      <c r="F10" s="98">
        <v>6</v>
      </c>
      <c r="G10" s="115">
        <v>40</v>
      </c>
      <c r="H10" s="113">
        <v>240</v>
      </c>
      <c r="I10" s="4"/>
      <c r="J10" s="4"/>
      <c r="K10" s="114"/>
    </row>
    <row r="11" spans="1:11" ht="12.75">
      <c r="A11" s="200"/>
      <c r="B11" s="31"/>
      <c r="C11" s="31" t="s">
        <v>67</v>
      </c>
      <c r="D11" s="5">
        <v>4</v>
      </c>
      <c r="E11" s="5"/>
      <c r="F11" s="98">
        <f t="shared" si="0"/>
        <v>4</v>
      </c>
      <c r="G11" s="115">
        <v>30</v>
      </c>
      <c r="H11" s="113">
        <v>120</v>
      </c>
      <c r="I11" s="4"/>
      <c r="J11" s="4"/>
      <c r="K11" s="114" t="s">
        <v>603</v>
      </c>
    </row>
    <row r="12" spans="1:11" ht="12.75">
      <c r="A12" s="200"/>
      <c r="B12" s="31"/>
      <c r="C12" s="31" t="s">
        <v>68</v>
      </c>
      <c r="D12" s="5"/>
      <c r="E12" s="5">
        <v>1</v>
      </c>
      <c r="F12" s="98">
        <f t="shared" si="0"/>
        <v>1</v>
      </c>
      <c r="G12" s="115">
        <v>20</v>
      </c>
      <c r="H12" s="113">
        <f t="shared" si="1"/>
        <v>20</v>
      </c>
      <c r="I12" s="4"/>
      <c r="J12" s="4"/>
      <c r="K12" s="114" t="s">
        <v>603</v>
      </c>
    </row>
    <row r="13" spans="1:11" ht="12.75" customHeight="1">
      <c r="A13" s="201"/>
      <c r="B13" s="31"/>
      <c r="C13" s="31" t="s">
        <v>69</v>
      </c>
      <c r="D13" s="5">
        <v>18</v>
      </c>
      <c r="E13" s="5">
        <v>3</v>
      </c>
      <c r="F13" s="98">
        <f t="shared" si="0"/>
        <v>21</v>
      </c>
      <c r="G13" s="115">
        <v>20</v>
      </c>
      <c r="H13" s="113">
        <f t="shared" si="1"/>
        <v>420</v>
      </c>
      <c r="I13" s="4"/>
      <c r="J13" s="4"/>
      <c r="K13" s="114" t="s">
        <v>603</v>
      </c>
    </row>
    <row r="14" spans="1:11" ht="12.75" customHeight="1">
      <c r="A14" s="203" t="s">
        <v>78</v>
      </c>
      <c r="B14" s="31"/>
      <c r="C14" s="31" t="s">
        <v>70</v>
      </c>
      <c r="D14" s="5">
        <v>2</v>
      </c>
      <c r="E14" s="5"/>
      <c r="F14" s="98">
        <f t="shared" si="0"/>
        <v>2</v>
      </c>
      <c r="G14" s="115">
        <v>25</v>
      </c>
      <c r="H14" s="113">
        <f t="shared" si="1"/>
        <v>50</v>
      </c>
      <c r="I14" s="4"/>
      <c r="J14" s="4"/>
      <c r="K14" s="114" t="s">
        <v>603</v>
      </c>
    </row>
    <row r="15" spans="1:11" ht="15" customHeight="1">
      <c r="A15" s="203"/>
      <c r="B15" s="31"/>
      <c r="C15" s="31" t="s">
        <v>71</v>
      </c>
      <c r="D15" s="5">
        <v>2</v>
      </c>
      <c r="E15" s="5"/>
      <c r="F15" s="98">
        <f t="shared" si="0"/>
        <v>2</v>
      </c>
      <c r="G15" s="115">
        <v>20</v>
      </c>
      <c r="H15" s="113">
        <f t="shared" si="1"/>
        <v>40</v>
      </c>
      <c r="I15" s="4"/>
      <c r="J15" s="4"/>
      <c r="K15" s="114" t="s">
        <v>603</v>
      </c>
    </row>
    <row r="16" spans="1:11" ht="13.5" customHeight="1">
      <c r="A16" s="203"/>
      <c r="B16" s="31"/>
      <c r="C16" s="6" t="s">
        <v>72</v>
      </c>
      <c r="D16" s="5">
        <v>6</v>
      </c>
      <c r="E16" s="5"/>
      <c r="F16" s="98">
        <f t="shared" si="0"/>
        <v>6</v>
      </c>
      <c r="G16" s="115">
        <v>30</v>
      </c>
      <c r="H16" s="113">
        <f t="shared" si="1"/>
        <v>180</v>
      </c>
      <c r="I16" s="4"/>
      <c r="J16" s="4"/>
      <c r="K16" s="114" t="s">
        <v>603</v>
      </c>
    </row>
    <row r="17" spans="1:11" ht="15.75" customHeight="1">
      <c r="A17" s="203"/>
      <c r="B17" s="31"/>
      <c r="C17" s="6" t="s">
        <v>70</v>
      </c>
      <c r="D17" s="5">
        <v>2</v>
      </c>
      <c r="E17" s="5"/>
      <c r="F17" s="98">
        <f t="shared" si="0"/>
        <v>2</v>
      </c>
      <c r="G17" s="115">
        <v>25</v>
      </c>
      <c r="H17" s="113">
        <f t="shared" si="1"/>
        <v>50</v>
      </c>
      <c r="I17" s="4"/>
      <c r="J17" s="4"/>
      <c r="K17" s="114" t="s">
        <v>603</v>
      </c>
    </row>
    <row r="18" spans="1:11" ht="15" customHeight="1">
      <c r="A18" s="203"/>
      <c r="B18" s="31"/>
      <c r="C18" s="40" t="s">
        <v>68</v>
      </c>
      <c r="D18" s="5">
        <v>1</v>
      </c>
      <c r="E18" s="5"/>
      <c r="F18" s="98">
        <f t="shared" si="0"/>
        <v>1</v>
      </c>
      <c r="G18" s="115">
        <v>20</v>
      </c>
      <c r="H18" s="113">
        <f t="shared" si="1"/>
        <v>20</v>
      </c>
      <c r="I18" s="4"/>
      <c r="J18" s="4"/>
      <c r="K18" s="114" t="s">
        <v>603</v>
      </c>
    </row>
    <row r="19" spans="1:11" ht="33.75" customHeight="1">
      <c r="A19" s="18" t="s">
        <v>79</v>
      </c>
      <c r="B19" s="6"/>
      <c r="C19" s="31" t="s">
        <v>589</v>
      </c>
      <c r="D19" s="5">
        <v>1</v>
      </c>
      <c r="E19" s="5"/>
      <c r="F19" s="98">
        <f t="shared" si="0"/>
        <v>1</v>
      </c>
      <c r="G19" s="115">
        <v>30</v>
      </c>
      <c r="H19" s="113">
        <f t="shared" si="1"/>
        <v>30</v>
      </c>
      <c r="I19" s="4"/>
      <c r="J19" s="4"/>
      <c r="K19" s="114" t="s">
        <v>603</v>
      </c>
    </row>
    <row r="20" spans="1:11" ht="15.75" customHeight="1">
      <c r="A20" s="50" t="s">
        <v>80</v>
      </c>
      <c r="B20" s="39"/>
      <c r="C20" s="33" t="s">
        <v>74</v>
      </c>
      <c r="D20" s="5"/>
      <c r="E20" s="5"/>
      <c r="F20" s="98">
        <v>2</v>
      </c>
      <c r="G20" s="115">
        <v>25</v>
      </c>
      <c r="H20" s="113">
        <f t="shared" si="1"/>
        <v>50</v>
      </c>
      <c r="I20" s="4"/>
      <c r="J20" s="4"/>
      <c r="K20" s="114" t="s">
        <v>603</v>
      </c>
    </row>
    <row r="21" spans="1:11" ht="15" customHeight="1">
      <c r="A21" s="51" t="s">
        <v>81</v>
      </c>
      <c r="B21" s="41"/>
      <c r="C21" s="6" t="s">
        <v>73</v>
      </c>
      <c r="D21" s="5">
        <v>1</v>
      </c>
      <c r="E21" s="5"/>
      <c r="F21" s="6">
        <f>SUM(D21:E21)</f>
        <v>1</v>
      </c>
      <c r="G21" s="115">
        <v>80</v>
      </c>
      <c r="H21" s="113">
        <f t="shared" si="1"/>
        <v>80</v>
      </c>
      <c r="I21" s="4"/>
      <c r="J21" s="4"/>
      <c r="K21" s="114" t="s">
        <v>603</v>
      </c>
    </row>
    <row r="22" spans="1:11" ht="15" customHeight="1">
      <c r="A22" s="16" t="s">
        <v>82</v>
      </c>
      <c r="B22" s="4"/>
      <c r="C22" s="6"/>
      <c r="D22" s="5">
        <v>1</v>
      </c>
      <c r="E22" s="5"/>
      <c r="F22" s="6">
        <f>SUM(D22:E22)</f>
        <v>1</v>
      </c>
      <c r="G22" s="115">
        <v>20</v>
      </c>
      <c r="H22" s="113">
        <f t="shared" si="1"/>
        <v>20</v>
      </c>
      <c r="I22" s="4"/>
      <c r="J22" s="4"/>
      <c r="K22" s="114" t="s">
        <v>603</v>
      </c>
    </row>
    <row r="23" spans="1:11" ht="15.75" customHeight="1" thickBot="1">
      <c r="A23" s="16" t="s">
        <v>76</v>
      </c>
      <c r="B23" s="4"/>
      <c r="C23" s="129"/>
      <c r="D23" s="130">
        <v>1</v>
      </c>
      <c r="E23" s="130"/>
      <c r="F23" s="131">
        <v>5</v>
      </c>
      <c r="G23" s="137">
        <v>160</v>
      </c>
      <c r="H23" s="137">
        <f t="shared" si="1"/>
        <v>800</v>
      </c>
      <c r="I23" s="132"/>
      <c r="J23" s="132"/>
      <c r="K23" s="181" t="s">
        <v>603</v>
      </c>
    </row>
    <row r="24" spans="1:25" s="133" customFormat="1" ht="45" customHeight="1" thickTop="1">
      <c r="A24" s="180" t="s">
        <v>75</v>
      </c>
      <c r="B24" s="180"/>
      <c r="C24" s="171"/>
      <c r="D24" s="48"/>
      <c r="E24" s="48"/>
      <c r="F24" s="139">
        <f>SUM(F8:F22)</f>
        <v>106</v>
      </c>
      <c r="G24" s="182"/>
      <c r="H24" s="138">
        <f>SUM(H8:H23)</f>
        <v>3825</v>
      </c>
      <c r="I24" s="4"/>
      <c r="J24" s="4"/>
      <c r="K24" s="4"/>
      <c r="Y24" s="134"/>
    </row>
    <row r="25" spans="1:11" s="11" customFormat="1" ht="25.5" customHeight="1" thickBot="1">
      <c r="A25" s="46"/>
      <c r="B25" s="118" t="s">
        <v>606</v>
      </c>
      <c r="C25" s="163"/>
      <c r="D25" s="163"/>
      <c r="E25" s="163"/>
      <c r="F25" s="163"/>
      <c r="G25" s="163"/>
      <c r="H25" s="163"/>
      <c r="I25" s="163"/>
      <c r="J25" s="163"/>
      <c r="K25" s="164"/>
    </row>
    <row r="26" spans="1:25" s="11" customFormat="1" ht="21" customHeight="1" thickBot="1">
      <c r="A26" s="172"/>
      <c r="B26" s="163"/>
      <c r="C26" s="206" t="s">
        <v>83</v>
      </c>
      <c r="D26" s="206"/>
      <c r="E26" s="206"/>
      <c r="F26" s="207"/>
      <c r="G26" s="202" t="s">
        <v>594</v>
      </c>
      <c r="H26" s="202" t="s">
        <v>595</v>
      </c>
      <c r="K26" s="202" t="s">
        <v>602</v>
      </c>
      <c r="Y26"/>
    </row>
    <row r="27" spans="1:25" s="11" customFormat="1" ht="12.75">
      <c r="A27" s="204" t="s">
        <v>19</v>
      </c>
      <c r="B27" s="3" t="s">
        <v>18</v>
      </c>
      <c r="C27" s="210" t="s">
        <v>88</v>
      </c>
      <c r="D27" s="210"/>
      <c r="E27" s="3" t="s">
        <v>89</v>
      </c>
      <c r="F27" s="15" t="s">
        <v>87</v>
      </c>
      <c r="G27" s="202"/>
      <c r="H27" s="202"/>
      <c r="K27" s="202"/>
      <c r="Y27"/>
    </row>
    <row r="28" spans="1:11" ht="12.75">
      <c r="A28" s="205"/>
      <c r="B28" s="42" t="s">
        <v>86</v>
      </c>
      <c r="C28" s="33" t="s">
        <v>86</v>
      </c>
      <c r="D28" s="33" t="s">
        <v>84</v>
      </c>
      <c r="E28" s="6"/>
      <c r="F28" s="19"/>
      <c r="G28" s="202"/>
      <c r="H28" s="202"/>
      <c r="K28" s="202"/>
    </row>
    <row r="29" spans="1:25" s="11" customFormat="1" ht="12.75">
      <c r="A29" s="135" t="s">
        <v>5</v>
      </c>
      <c r="B29" s="132">
        <v>52</v>
      </c>
      <c r="C29" s="130">
        <v>35</v>
      </c>
      <c r="D29" s="5">
        <v>7</v>
      </c>
      <c r="E29" s="5"/>
      <c r="F29" s="98">
        <f>B29+C29+D29</f>
        <v>94</v>
      </c>
      <c r="G29" s="115">
        <v>25</v>
      </c>
      <c r="H29" s="113">
        <f aca="true" t="shared" si="2" ref="H29:H34">G29*F29</f>
        <v>2350</v>
      </c>
      <c r="I29" s="4"/>
      <c r="J29" s="4"/>
      <c r="K29" s="114" t="s">
        <v>603</v>
      </c>
      <c r="Y29"/>
    </row>
    <row r="30" spans="1:25" s="11" customFormat="1" ht="15" customHeight="1">
      <c r="A30" s="135" t="s">
        <v>4</v>
      </c>
      <c r="B30" s="132">
        <v>0</v>
      </c>
      <c r="C30" s="130">
        <v>7</v>
      </c>
      <c r="D30" s="5"/>
      <c r="E30" s="5"/>
      <c r="F30" s="98">
        <v>7</v>
      </c>
      <c r="G30" s="113">
        <v>30</v>
      </c>
      <c r="H30" s="113">
        <f t="shared" si="2"/>
        <v>210</v>
      </c>
      <c r="I30" s="4"/>
      <c r="J30" s="4"/>
      <c r="K30" s="114" t="s">
        <v>603</v>
      </c>
      <c r="Y30"/>
    </row>
    <row r="31" spans="1:25" s="11" customFormat="1" ht="15.75" customHeight="1">
      <c r="A31" s="16" t="s">
        <v>6</v>
      </c>
      <c r="B31" s="4"/>
      <c r="C31" s="5"/>
      <c r="D31" s="5"/>
      <c r="E31" s="5">
        <v>1</v>
      </c>
      <c r="F31" s="98">
        <v>1</v>
      </c>
      <c r="G31" s="115">
        <v>40</v>
      </c>
      <c r="H31" s="113">
        <f t="shared" si="2"/>
        <v>40</v>
      </c>
      <c r="I31" s="4"/>
      <c r="J31" s="4"/>
      <c r="K31" s="114" t="s">
        <v>603</v>
      </c>
      <c r="Y31"/>
    </row>
    <row r="32" spans="1:25" s="11" customFormat="1" ht="15.75" customHeight="1">
      <c r="A32" s="135" t="s">
        <v>20</v>
      </c>
      <c r="B32" s="4">
        <v>1</v>
      </c>
      <c r="C32" s="130">
        <v>4</v>
      </c>
      <c r="D32" s="5"/>
      <c r="E32" s="5"/>
      <c r="F32" s="98">
        <v>5</v>
      </c>
      <c r="G32" s="115">
        <v>45</v>
      </c>
      <c r="H32" s="113">
        <f t="shared" si="2"/>
        <v>225</v>
      </c>
      <c r="I32" s="4"/>
      <c r="J32" s="4"/>
      <c r="K32" s="114" t="s">
        <v>603</v>
      </c>
      <c r="Y32"/>
    </row>
    <row r="33" spans="1:25" s="11" customFormat="1" ht="15" customHeight="1">
      <c r="A33" s="16" t="s">
        <v>21</v>
      </c>
      <c r="B33" s="4">
        <v>11</v>
      </c>
      <c r="C33" s="5">
        <v>14</v>
      </c>
      <c r="D33" s="5"/>
      <c r="E33" s="5"/>
      <c r="F33" s="98">
        <v>25</v>
      </c>
      <c r="G33" s="115">
        <v>20</v>
      </c>
      <c r="H33" s="113">
        <f t="shared" si="2"/>
        <v>500</v>
      </c>
      <c r="I33" s="4"/>
      <c r="J33" s="4"/>
      <c r="K33" s="114" t="s">
        <v>603</v>
      </c>
      <c r="L33" s="133"/>
      <c r="Y33"/>
    </row>
    <row r="34" spans="1:25" s="11" customFormat="1" ht="12.75">
      <c r="A34" s="16" t="s">
        <v>22</v>
      </c>
      <c r="B34" s="4">
        <v>3</v>
      </c>
      <c r="C34" s="5">
        <v>10</v>
      </c>
      <c r="D34" s="5"/>
      <c r="E34" s="5"/>
      <c r="F34" s="98">
        <v>13</v>
      </c>
      <c r="G34" s="115">
        <v>30</v>
      </c>
      <c r="H34" s="113">
        <f t="shared" si="2"/>
        <v>390</v>
      </c>
      <c r="I34" s="4"/>
      <c r="J34" s="4"/>
      <c r="K34" s="114" t="s">
        <v>603</v>
      </c>
      <c r="Y34"/>
    </row>
    <row r="35" spans="1:25" s="11" customFormat="1" ht="13.5" thickBot="1">
      <c r="A35" s="132" t="s">
        <v>23</v>
      </c>
      <c r="B35" s="6"/>
      <c r="C35" s="132">
        <v>62</v>
      </c>
      <c r="D35" s="5">
        <v>1</v>
      </c>
      <c r="E35" s="5"/>
      <c r="F35" s="140">
        <v>63</v>
      </c>
      <c r="G35" s="115">
        <v>25</v>
      </c>
      <c r="H35" s="136">
        <v>1575</v>
      </c>
      <c r="I35" s="4"/>
      <c r="J35" s="4"/>
      <c r="K35" s="114" t="s">
        <v>603</v>
      </c>
      <c r="Y35"/>
    </row>
    <row r="36" spans="1:25" s="11" customFormat="1" ht="15.75" thickTop="1">
      <c r="A36" s="107"/>
      <c r="B36" s="118" t="s">
        <v>605</v>
      </c>
      <c r="C36" s="171"/>
      <c r="D36" s="48"/>
      <c r="E36" s="48"/>
      <c r="F36" s="139">
        <f>SUM(F29:F35)</f>
        <v>208</v>
      </c>
      <c r="G36" s="113"/>
      <c r="H36" s="138">
        <f>SUM(H29:H35)</f>
        <v>5290</v>
      </c>
      <c r="I36" s="4"/>
      <c r="J36" s="4"/>
      <c r="K36" s="4"/>
      <c r="Y36"/>
    </row>
    <row r="37" spans="1:25" s="11" customFormat="1" ht="15">
      <c r="A37" s="38"/>
      <c r="B37" s="103"/>
      <c r="C37" s="103"/>
      <c r="D37" s="186"/>
      <c r="E37" s="186"/>
      <c r="F37" s="103"/>
      <c r="G37" s="105"/>
      <c r="H37" s="124"/>
      <c r="Y37"/>
    </row>
    <row r="38" spans="1:25" s="11" customFormat="1" ht="15">
      <c r="A38" s="38"/>
      <c r="B38" s="103"/>
      <c r="C38" s="103"/>
      <c r="D38" s="186"/>
      <c r="E38" s="186"/>
      <c r="F38" s="103"/>
      <c r="G38" s="105"/>
      <c r="H38" s="124"/>
      <c r="Y38"/>
    </row>
    <row r="39" spans="1:25" s="11" customFormat="1" ht="15.75" thickBot="1">
      <c r="A39" s="38"/>
      <c r="B39" s="103"/>
      <c r="C39" s="103"/>
      <c r="D39" s="103"/>
      <c r="E39" s="103"/>
      <c r="F39" s="103"/>
      <c r="G39" s="105"/>
      <c r="H39" s="124"/>
      <c r="Y39"/>
    </row>
    <row r="40" spans="1:25" s="11" customFormat="1" ht="16.5" thickBot="1">
      <c r="A40" s="146" t="s">
        <v>24</v>
      </c>
      <c r="B40" s="147"/>
      <c r="C40" s="147"/>
      <c r="D40" s="147"/>
      <c r="E40" s="147"/>
      <c r="F40" s="147"/>
      <c r="G40" s="147"/>
      <c r="H40" s="147"/>
      <c r="I40" s="147"/>
      <c r="J40" s="147"/>
      <c r="K40" s="148"/>
      <c r="Y40"/>
    </row>
    <row r="41" spans="1:25" s="11" customFormat="1" ht="39">
      <c r="A41" s="100"/>
      <c r="B41" s="101" t="s">
        <v>90</v>
      </c>
      <c r="C41" s="206" t="s">
        <v>88</v>
      </c>
      <c r="D41" s="206"/>
      <c r="E41" s="26"/>
      <c r="F41" s="29" t="s">
        <v>91</v>
      </c>
      <c r="G41" s="110" t="s">
        <v>594</v>
      </c>
      <c r="H41" s="110" t="s">
        <v>595</v>
      </c>
      <c r="K41" s="110" t="s">
        <v>602</v>
      </c>
      <c r="Y41"/>
    </row>
    <row r="42" spans="1:25" s="11" customFormat="1" ht="13.5" thickBot="1">
      <c r="A42" s="16" t="s">
        <v>40</v>
      </c>
      <c r="B42" s="4"/>
      <c r="C42" s="6"/>
      <c r="D42" s="4">
        <v>1</v>
      </c>
      <c r="E42" s="5"/>
      <c r="F42" s="140">
        <v>1</v>
      </c>
      <c r="G42" s="113">
        <v>20</v>
      </c>
      <c r="H42" s="136">
        <f>G42*F42</f>
        <v>20</v>
      </c>
      <c r="I42" s="4"/>
      <c r="J42" s="4"/>
      <c r="K42" s="114" t="s">
        <v>603</v>
      </c>
      <c r="Y42"/>
    </row>
    <row r="43" spans="1:25" s="11" customFormat="1" ht="15.75" thickTop="1">
      <c r="A43" s="107"/>
      <c r="B43" s="118" t="s">
        <v>607</v>
      </c>
      <c r="C43" s="171"/>
      <c r="D43" s="48"/>
      <c r="E43" s="48"/>
      <c r="F43" s="170">
        <f>SUM(F42)</f>
        <v>1</v>
      </c>
      <c r="G43" s="113"/>
      <c r="H43" s="138">
        <f>SUM(H42:H42)</f>
        <v>20</v>
      </c>
      <c r="I43" s="4"/>
      <c r="J43" s="4"/>
      <c r="K43" s="4"/>
      <c r="Y43"/>
    </row>
    <row r="44" spans="1:25" s="11" customFormat="1" ht="13.5" thickBot="1">
      <c r="A44" s="173"/>
      <c r="B44" s="173"/>
      <c r="C44" s="43"/>
      <c r="D44" s="8"/>
      <c r="E44" s="9"/>
      <c r="F44" s="174"/>
      <c r="G44" s="168"/>
      <c r="H44" s="168"/>
      <c r="I44" s="8"/>
      <c r="J44" s="8"/>
      <c r="K44" s="8"/>
      <c r="Y44"/>
    </row>
    <row r="45" spans="1:25" s="11" customFormat="1" ht="18.75" thickBot="1">
      <c r="A45" s="145" t="s">
        <v>25</v>
      </c>
      <c r="B45" s="142"/>
      <c r="C45" s="142"/>
      <c r="D45" s="142"/>
      <c r="E45" s="142"/>
      <c r="F45" s="142"/>
      <c r="G45" s="142"/>
      <c r="H45" s="142"/>
      <c r="I45" s="142"/>
      <c r="J45" s="142"/>
      <c r="K45" s="143"/>
      <c r="Y45"/>
    </row>
    <row r="46" spans="1:25" s="11" customFormat="1" ht="24.75" customHeight="1" thickBot="1">
      <c r="A46" s="44" t="s">
        <v>28</v>
      </c>
      <c r="B46" s="13" t="s">
        <v>7</v>
      </c>
      <c r="C46" s="211" t="s">
        <v>10</v>
      </c>
      <c r="D46" s="212"/>
      <c r="E46" s="45" t="s">
        <v>11</v>
      </c>
      <c r="F46" s="22" t="s">
        <v>87</v>
      </c>
      <c r="G46" s="202" t="s">
        <v>594</v>
      </c>
      <c r="H46" s="202" t="s">
        <v>595</v>
      </c>
      <c r="K46" s="202" t="s">
        <v>602</v>
      </c>
      <c r="Y46"/>
    </row>
    <row r="47" spans="1:25" s="11" customFormat="1" ht="14.25" customHeight="1">
      <c r="A47" s="21"/>
      <c r="B47" s="7" t="s">
        <v>8</v>
      </c>
      <c r="C47" s="7" t="s">
        <v>8</v>
      </c>
      <c r="D47" s="7" t="s">
        <v>27</v>
      </c>
      <c r="E47" s="36" t="s">
        <v>9</v>
      </c>
      <c r="F47" s="19"/>
      <c r="G47" s="202"/>
      <c r="H47" s="202"/>
      <c r="K47" s="202"/>
      <c r="Y47"/>
    </row>
    <row r="48" spans="1:25" s="11" customFormat="1" ht="40.5" customHeight="1">
      <c r="A48" s="4" t="s">
        <v>13</v>
      </c>
      <c r="B48" s="4">
        <v>21</v>
      </c>
      <c r="C48" s="5"/>
      <c r="D48" s="5"/>
      <c r="E48" s="4"/>
      <c r="F48" s="6">
        <f aca="true" t="shared" si="3" ref="F48:F54">B48+C48+D48+E48</f>
        <v>21</v>
      </c>
      <c r="G48" s="113">
        <v>15</v>
      </c>
      <c r="H48" s="113">
        <f aca="true" t="shared" si="4" ref="H48:H54">G48*F48</f>
        <v>315</v>
      </c>
      <c r="I48" s="4"/>
      <c r="J48" s="4"/>
      <c r="K48" s="114" t="s">
        <v>603</v>
      </c>
      <c r="Y48"/>
    </row>
    <row r="49" spans="1:25" s="11" customFormat="1" ht="15" customHeight="1">
      <c r="A49" s="4" t="s">
        <v>13</v>
      </c>
      <c r="B49" s="4"/>
      <c r="C49" s="5">
        <v>16</v>
      </c>
      <c r="D49" s="5"/>
      <c r="E49" s="4"/>
      <c r="F49" s="6">
        <f t="shared" si="3"/>
        <v>16</v>
      </c>
      <c r="G49" s="113">
        <v>35</v>
      </c>
      <c r="H49" s="113">
        <f t="shared" si="4"/>
        <v>560</v>
      </c>
      <c r="I49" s="4"/>
      <c r="J49" s="4"/>
      <c r="K49" s="114" t="s">
        <v>603</v>
      </c>
      <c r="Y49"/>
    </row>
    <row r="50" spans="1:25" s="11" customFormat="1" ht="15" customHeight="1">
      <c r="A50" s="4" t="s">
        <v>14</v>
      </c>
      <c r="B50" s="4"/>
      <c r="C50" s="5">
        <v>8</v>
      </c>
      <c r="D50" s="5"/>
      <c r="E50" s="4"/>
      <c r="F50" s="6">
        <f t="shared" si="3"/>
        <v>8</v>
      </c>
      <c r="G50" s="113">
        <v>40</v>
      </c>
      <c r="H50" s="113">
        <f t="shared" si="4"/>
        <v>320</v>
      </c>
      <c r="I50" s="4"/>
      <c r="J50" s="4"/>
      <c r="K50" s="114" t="s">
        <v>603</v>
      </c>
      <c r="Y50"/>
    </row>
    <row r="51" spans="1:25" s="11" customFormat="1" ht="12.75">
      <c r="A51" s="4" t="s">
        <v>12</v>
      </c>
      <c r="B51" s="4"/>
      <c r="C51" s="5"/>
      <c r="D51" s="5">
        <v>29</v>
      </c>
      <c r="E51" s="4"/>
      <c r="F51" s="6">
        <f t="shared" si="3"/>
        <v>29</v>
      </c>
      <c r="G51" s="115">
        <v>35</v>
      </c>
      <c r="H51" s="113">
        <f t="shared" si="4"/>
        <v>1015</v>
      </c>
      <c r="I51" s="4"/>
      <c r="J51" s="4"/>
      <c r="K51" s="114" t="s">
        <v>603</v>
      </c>
      <c r="Y51"/>
    </row>
    <row r="52" spans="1:25" s="11" customFormat="1" ht="12.75">
      <c r="A52" s="4" t="s">
        <v>12</v>
      </c>
      <c r="B52" s="4"/>
      <c r="C52" s="5">
        <v>6</v>
      </c>
      <c r="D52" s="5"/>
      <c r="E52" s="4"/>
      <c r="F52" s="6">
        <f t="shared" si="3"/>
        <v>6</v>
      </c>
      <c r="G52" s="115">
        <v>35</v>
      </c>
      <c r="H52" s="113">
        <f t="shared" si="4"/>
        <v>210</v>
      </c>
      <c r="I52" s="4"/>
      <c r="J52" s="4"/>
      <c r="K52" s="114" t="s">
        <v>603</v>
      </c>
      <c r="Y52"/>
    </row>
    <row r="53" spans="1:25" s="11" customFormat="1" ht="12.75">
      <c r="A53" s="132" t="s">
        <v>15</v>
      </c>
      <c r="B53" s="4"/>
      <c r="C53" s="130">
        <v>14</v>
      </c>
      <c r="D53" s="5"/>
      <c r="E53" s="4"/>
      <c r="F53" s="6">
        <f t="shared" si="3"/>
        <v>14</v>
      </c>
      <c r="G53" s="115">
        <v>35</v>
      </c>
      <c r="H53" s="113">
        <f t="shared" si="4"/>
        <v>490</v>
      </c>
      <c r="I53" s="4"/>
      <c r="J53" s="4"/>
      <c r="K53" s="114" t="s">
        <v>603</v>
      </c>
      <c r="Y53"/>
    </row>
    <row r="54" spans="1:25" s="11" customFormat="1" ht="15" customHeight="1" thickBot="1">
      <c r="A54" s="4" t="s">
        <v>30</v>
      </c>
      <c r="B54" s="4"/>
      <c r="C54" s="5"/>
      <c r="D54" s="5">
        <v>2</v>
      </c>
      <c r="E54" s="4"/>
      <c r="F54" s="140">
        <f t="shared" si="3"/>
        <v>2</v>
      </c>
      <c r="G54" s="115">
        <v>30</v>
      </c>
      <c r="H54" s="136">
        <f t="shared" si="4"/>
        <v>60</v>
      </c>
      <c r="I54" s="4"/>
      <c r="J54" s="4"/>
      <c r="K54" s="114" t="s">
        <v>603</v>
      </c>
      <c r="Y54"/>
    </row>
    <row r="55" spans="1:25" s="11" customFormat="1" ht="15" customHeight="1" thickTop="1">
      <c r="A55" s="107"/>
      <c r="B55" s="118" t="s">
        <v>608</v>
      </c>
      <c r="C55" s="171"/>
      <c r="D55" s="48"/>
      <c r="E55" s="48"/>
      <c r="F55" s="139">
        <f>SUM(F48:F54)</f>
        <v>96</v>
      </c>
      <c r="G55" s="113"/>
      <c r="H55" s="138">
        <f>H48+H49+H50+H51+H52+H53+H54</f>
        <v>2970</v>
      </c>
      <c r="I55" s="4"/>
      <c r="J55" s="4"/>
      <c r="K55" s="4"/>
      <c r="Y55"/>
    </row>
    <row r="56" spans="1:25" s="11" customFormat="1" ht="15" customHeight="1" thickBot="1">
      <c r="A56" s="38"/>
      <c r="C56" s="12"/>
      <c r="D56" s="12"/>
      <c r="F56" s="106"/>
      <c r="G56" s="105"/>
      <c r="H56" s="105"/>
      <c r="Y56"/>
    </row>
    <row r="57" spans="1:25" s="11" customFormat="1" ht="15" customHeight="1" thickBot="1">
      <c r="A57" s="145" t="s">
        <v>31</v>
      </c>
      <c r="B57" s="142"/>
      <c r="C57" s="142"/>
      <c r="D57" s="142"/>
      <c r="E57" s="142"/>
      <c r="F57" s="142"/>
      <c r="G57" s="142"/>
      <c r="H57" s="142"/>
      <c r="I57" s="142"/>
      <c r="J57" s="142"/>
      <c r="K57" s="143"/>
      <c r="Y57"/>
    </row>
    <row r="58" spans="1:25" s="11" customFormat="1" ht="25.5" customHeight="1">
      <c r="A58" s="14" t="s">
        <v>28</v>
      </c>
      <c r="B58" s="13"/>
      <c r="C58" s="209" t="s">
        <v>36</v>
      </c>
      <c r="D58" s="209"/>
      <c r="E58" s="209"/>
      <c r="F58" s="22" t="s">
        <v>87</v>
      </c>
      <c r="G58" s="202" t="s">
        <v>594</v>
      </c>
      <c r="H58" s="202" t="s">
        <v>595</v>
      </c>
      <c r="K58" s="202" t="s">
        <v>602</v>
      </c>
      <c r="Y58"/>
    </row>
    <row r="59" spans="1:25" s="11" customFormat="1" ht="12.75">
      <c r="A59" s="14"/>
      <c r="B59" s="13"/>
      <c r="C59" s="3" t="s">
        <v>37</v>
      </c>
      <c r="D59" s="3" t="s">
        <v>27</v>
      </c>
      <c r="E59" s="3" t="s">
        <v>2</v>
      </c>
      <c r="F59" s="15"/>
      <c r="G59" s="202"/>
      <c r="H59" s="202"/>
      <c r="K59" s="202"/>
      <c r="Y59"/>
    </row>
    <row r="60" spans="1:25" s="11" customFormat="1" ht="44.25" customHeight="1">
      <c r="A60" s="16" t="s">
        <v>32</v>
      </c>
      <c r="B60" s="4"/>
      <c r="C60" s="5"/>
      <c r="D60" s="5"/>
      <c r="E60" s="5">
        <v>1</v>
      </c>
      <c r="F60" s="98">
        <f>C60+D60+E60</f>
        <v>1</v>
      </c>
      <c r="G60" s="113">
        <v>80</v>
      </c>
      <c r="H60" s="113">
        <f>G60*F60</f>
        <v>80</v>
      </c>
      <c r="I60" s="4"/>
      <c r="J60" s="4"/>
      <c r="K60" s="114" t="s">
        <v>603</v>
      </c>
      <c r="Y60"/>
    </row>
    <row r="61" spans="1:25" s="11" customFormat="1" ht="15" customHeight="1">
      <c r="A61" s="16" t="s">
        <v>33</v>
      </c>
      <c r="B61" s="4"/>
      <c r="C61" s="5">
        <v>1</v>
      </c>
      <c r="D61" s="5"/>
      <c r="E61" s="5"/>
      <c r="F61" s="98">
        <f>C61+D61+E61</f>
        <v>1</v>
      </c>
      <c r="G61" s="113">
        <v>120</v>
      </c>
      <c r="H61" s="113">
        <f>G61*F61</f>
        <v>120</v>
      </c>
      <c r="I61" s="4"/>
      <c r="J61" s="4"/>
      <c r="K61" s="114" t="s">
        <v>603</v>
      </c>
      <c r="Y61"/>
    </row>
    <row r="62" spans="1:25" s="11" customFormat="1" ht="15.75" customHeight="1">
      <c r="A62" s="20" t="s">
        <v>34</v>
      </c>
      <c r="B62" s="4"/>
      <c r="C62" s="5"/>
      <c r="D62" s="5"/>
      <c r="E62" s="5">
        <v>1</v>
      </c>
      <c r="F62" s="98">
        <f>C62+D62+E62</f>
        <v>1</v>
      </c>
      <c r="G62" s="113">
        <v>120</v>
      </c>
      <c r="H62" s="113">
        <f>G62*F62</f>
        <v>120</v>
      </c>
      <c r="I62" s="4"/>
      <c r="J62" s="4"/>
      <c r="K62" s="114" t="s">
        <v>603</v>
      </c>
      <c r="Y62"/>
    </row>
    <row r="63" spans="1:25" s="11" customFormat="1" ht="15.75" customHeight="1" thickBot="1">
      <c r="A63" s="166" t="s">
        <v>38</v>
      </c>
      <c r="B63" s="8"/>
      <c r="C63" s="9"/>
      <c r="D63" s="9">
        <v>5</v>
      </c>
      <c r="E63" s="9"/>
      <c r="F63" s="140">
        <f>C63+D63+E63</f>
        <v>5</v>
      </c>
      <c r="G63" s="167">
        <v>180</v>
      </c>
      <c r="H63" s="136">
        <f>G63*F63</f>
        <v>900</v>
      </c>
      <c r="I63" s="8"/>
      <c r="J63" s="8"/>
      <c r="K63" s="169" t="s">
        <v>603</v>
      </c>
      <c r="Y63"/>
    </row>
    <row r="64" spans="1:25" s="11" customFormat="1" ht="18" customHeight="1" thickTop="1">
      <c r="A64" s="46"/>
      <c r="B64" s="118" t="s">
        <v>609</v>
      </c>
      <c r="C64" s="171"/>
      <c r="D64" s="48"/>
      <c r="E64" s="48"/>
      <c r="F64" s="139">
        <f>SUM(F60:F63)</f>
        <v>8</v>
      </c>
      <c r="G64" s="113"/>
      <c r="H64" s="138">
        <f>H60+H61+H62+H63</f>
        <v>1220</v>
      </c>
      <c r="I64" s="4"/>
      <c r="J64" s="4"/>
      <c r="K64" s="4"/>
      <c r="Y64"/>
    </row>
    <row r="65" spans="1:25" s="11" customFormat="1" ht="18" customHeight="1" thickBot="1">
      <c r="A65" s="49"/>
      <c r="C65" s="12"/>
      <c r="D65" s="12"/>
      <c r="E65" s="12"/>
      <c r="F65" s="32"/>
      <c r="G65" s="105"/>
      <c r="H65" s="105"/>
      <c r="Y65"/>
    </row>
    <row r="66" spans="1:25" s="11" customFormat="1" ht="18" customHeight="1" thickBot="1">
      <c r="A66" s="145" t="s">
        <v>45</v>
      </c>
      <c r="B66" s="142"/>
      <c r="C66" s="142"/>
      <c r="D66" s="142"/>
      <c r="E66" s="142"/>
      <c r="F66" s="142"/>
      <c r="G66" s="142"/>
      <c r="H66" s="142"/>
      <c r="I66" s="142"/>
      <c r="J66" s="142"/>
      <c r="K66" s="143"/>
      <c r="Y66"/>
    </row>
    <row r="67" spans="1:11" ht="39.75" customHeight="1" thickBot="1">
      <c r="A67" s="25" t="s">
        <v>28</v>
      </c>
      <c r="B67" s="13"/>
      <c r="C67" s="26"/>
      <c r="D67" s="26"/>
      <c r="E67" s="26"/>
      <c r="F67" s="55" t="s">
        <v>3</v>
      </c>
      <c r="G67" s="110" t="s">
        <v>594</v>
      </c>
      <c r="H67" s="110" t="s">
        <v>595</v>
      </c>
      <c r="K67" s="110" t="s">
        <v>602</v>
      </c>
    </row>
    <row r="68" spans="1:11" ht="53.25" customHeight="1">
      <c r="A68" s="23" t="s">
        <v>39</v>
      </c>
      <c r="B68" s="4"/>
      <c r="C68" s="5"/>
      <c r="D68" s="5"/>
      <c r="E68" s="5"/>
      <c r="F68" s="98">
        <v>11</v>
      </c>
      <c r="G68" s="113">
        <v>60</v>
      </c>
      <c r="H68" s="113">
        <f>G68*F68</f>
        <v>660</v>
      </c>
      <c r="I68" s="4"/>
      <c r="J68" s="4"/>
      <c r="K68" s="114" t="s">
        <v>603</v>
      </c>
    </row>
    <row r="69" spans="1:11" ht="43.5" customHeight="1">
      <c r="A69" s="24" t="s">
        <v>16</v>
      </c>
      <c r="B69" s="4"/>
      <c r="C69" s="5"/>
      <c r="D69" s="5"/>
      <c r="E69" s="5"/>
      <c r="F69" s="98">
        <v>20</v>
      </c>
      <c r="G69" s="113">
        <v>45</v>
      </c>
      <c r="H69" s="113">
        <f>G69*F69</f>
        <v>900</v>
      </c>
      <c r="I69" s="4"/>
      <c r="J69" s="4"/>
      <c r="K69" s="114" t="s">
        <v>603</v>
      </c>
    </row>
    <row r="70" spans="1:11" ht="46.5" customHeight="1">
      <c r="A70" s="56" t="s">
        <v>29</v>
      </c>
      <c r="B70" s="4"/>
      <c r="C70" s="5"/>
      <c r="D70" s="5"/>
      <c r="E70" s="5"/>
      <c r="F70" s="117">
        <v>4</v>
      </c>
      <c r="G70" s="113">
        <v>35</v>
      </c>
      <c r="H70" s="113">
        <f>G70*F70</f>
        <v>140</v>
      </c>
      <c r="I70" s="4"/>
      <c r="J70" s="4"/>
      <c r="K70" s="114" t="s">
        <v>603</v>
      </c>
    </row>
    <row r="71" spans="1:11" ht="20.25" customHeight="1">
      <c r="A71" s="37" t="s">
        <v>35</v>
      </c>
      <c r="B71" s="4"/>
      <c r="C71" s="5"/>
      <c r="D71" s="5"/>
      <c r="E71" s="5"/>
      <c r="F71" s="98">
        <v>1</v>
      </c>
      <c r="G71" s="115">
        <v>20</v>
      </c>
      <c r="H71" s="113">
        <f>G71*F71</f>
        <v>20</v>
      </c>
      <c r="I71" s="4"/>
      <c r="J71" s="4"/>
      <c r="K71" s="114" t="s">
        <v>603</v>
      </c>
    </row>
    <row r="72" spans="1:11" ht="18" customHeight="1" thickBot="1">
      <c r="A72" s="56"/>
      <c r="B72" s="4"/>
      <c r="C72" s="5"/>
      <c r="D72" s="5"/>
      <c r="E72" s="5"/>
      <c r="F72" s="117"/>
      <c r="G72" s="115"/>
      <c r="H72" s="136"/>
      <c r="I72" s="4"/>
      <c r="J72" s="4"/>
      <c r="K72" s="114"/>
    </row>
    <row r="73" spans="1:25" s="11" customFormat="1" ht="19.5" customHeight="1" thickBot="1" thickTop="1">
      <c r="A73" s="4"/>
      <c r="B73" s="165" t="s">
        <v>610</v>
      </c>
      <c r="C73" s="165"/>
      <c r="D73" s="165"/>
      <c r="E73" s="165"/>
      <c r="F73" s="165"/>
      <c r="G73" s="113"/>
      <c r="H73" s="138">
        <f>H68+H69+H70+H71</f>
        <v>1720</v>
      </c>
      <c r="I73" s="4"/>
      <c r="J73" s="4"/>
      <c r="K73" s="4"/>
      <c r="Y73"/>
    </row>
    <row r="74" spans="1:25" s="11" customFormat="1" ht="19.5" customHeight="1" thickBot="1">
      <c r="A74" s="146" t="s">
        <v>41</v>
      </c>
      <c r="B74" s="147"/>
      <c r="C74" s="147"/>
      <c r="D74" s="147"/>
      <c r="E74" s="147"/>
      <c r="F74" s="147"/>
      <c r="G74" s="147"/>
      <c r="H74" s="147"/>
      <c r="I74" s="147"/>
      <c r="J74" s="147"/>
      <c r="K74" s="148"/>
      <c r="Y74"/>
    </row>
    <row r="75" spans="1:11" s="27" customFormat="1" ht="38.25" customHeight="1">
      <c r="A75" s="116" t="s">
        <v>593</v>
      </c>
      <c r="B75" s="99" t="s">
        <v>590</v>
      </c>
      <c r="C75" s="13" t="s">
        <v>591</v>
      </c>
      <c r="D75" s="10"/>
      <c r="E75" s="10"/>
      <c r="F75" s="17"/>
      <c r="G75" s="110" t="s">
        <v>594</v>
      </c>
      <c r="H75" s="110" t="s">
        <v>595</v>
      </c>
      <c r="I75" s="11"/>
      <c r="J75" s="11"/>
      <c r="K75" s="110" t="s">
        <v>602</v>
      </c>
    </row>
    <row r="76" spans="1:25" s="11" customFormat="1" ht="12.75">
      <c r="A76" s="28" t="s">
        <v>592</v>
      </c>
      <c r="B76" s="34">
        <v>2003</v>
      </c>
      <c r="C76" s="6" t="s">
        <v>42</v>
      </c>
      <c r="D76" s="5"/>
      <c r="E76" s="5"/>
      <c r="F76" s="98">
        <v>1</v>
      </c>
      <c r="G76" s="113">
        <v>1200</v>
      </c>
      <c r="H76" s="113">
        <f>G76*F76</f>
        <v>1200</v>
      </c>
      <c r="I76" s="4"/>
      <c r="J76" s="4"/>
      <c r="K76" s="114" t="s">
        <v>603</v>
      </c>
      <c r="Y76"/>
    </row>
    <row r="77" spans="1:25" s="11" customFormat="1" ht="12.75">
      <c r="A77" s="16" t="s">
        <v>626</v>
      </c>
      <c r="B77" s="198">
        <v>2000</v>
      </c>
      <c r="C77" s="6" t="s">
        <v>627</v>
      </c>
      <c r="D77" s="5"/>
      <c r="E77" s="5"/>
      <c r="F77" s="98">
        <v>1</v>
      </c>
      <c r="G77" s="113">
        <v>700</v>
      </c>
      <c r="H77" s="113">
        <f>G77*F77</f>
        <v>700</v>
      </c>
      <c r="I77" s="4"/>
      <c r="J77" s="4"/>
      <c r="K77" s="114" t="s">
        <v>603</v>
      </c>
      <c r="Y77"/>
    </row>
    <row r="78" spans="1:25" s="11" customFormat="1" ht="13.5" thickBot="1">
      <c r="A78" s="4" t="s">
        <v>43</v>
      </c>
      <c r="B78" s="6">
        <v>2000</v>
      </c>
      <c r="C78" s="6" t="s">
        <v>44</v>
      </c>
      <c r="D78" s="5"/>
      <c r="E78" s="5"/>
      <c r="F78" s="6">
        <v>1</v>
      </c>
      <c r="G78" s="113">
        <v>600</v>
      </c>
      <c r="H78" s="136">
        <f>G78*F78</f>
        <v>600</v>
      </c>
      <c r="I78" s="4"/>
      <c r="J78" s="4"/>
      <c r="K78" s="114" t="s">
        <v>603</v>
      </c>
      <c r="Y78"/>
    </row>
    <row r="79" spans="1:25" s="11" customFormat="1" ht="15.75" thickTop="1">
      <c r="A79" s="6"/>
      <c r="B79" s="165" t="s">
        <v>611</v>
      </c>
      <c r="C79" s="165"/>
      <c r="D79" s="165"/>
      <c r="E79" s="165"/>
      <c r="F79" s="165"/>
      <c r="G79" s="113"/>
      <c r="H79" s="138">
        <f>SUM(H76:H78)</f>
        <v>2500</v>
      </c>
      <c r="I79" s="4"/>
      <c r="J79" s="4"/>
      <c r="K79" s="4"/>
      <c r="Y79"/>
    </row>
    <row r="80" spans="1:25" s="11" customFormat="1" ht="13.5" thickBot="1">
      <c r="A80" s="32"/>
      <c r="B80" s="32"/>
      <c r="C80" s="32"/>
      <c r="D80" s="32"/>
      <c r="E80" s="32"/>
      <c r="F80" s="32"/>
      <c r="G80" s="105"/>
      <c r="H80" s="105"/>
      <c r="Y80"/>
    </row>
    <row r="81" spans="1:25" s="189" customFormat="1" ht="42" customHeight="1" thickBot="1">
      <c r="A81" s="234" t="s">
        <v>587</v>
      </c>
      <c r="B81" s="235"/>
      <c r="C81" s="235"/>
      <c r="D81" s="235"/>
      <c r="E81" s="235"/>
      <c r="F81" s="235"/>
      <c r="G81" s="235"/>
      <c r="H81" s="235"/>
      <c r="I81" s="151"/>
      <c r="J81" s="151"/>
      <c r="K81" s="152"/>
      <c r="Y81" s="190"/>
    </row>
    <row r="82" spans="1:25" s="11" customFormat="1" ht="45.75" customHeight="1">
      <c r="A82" s="155" t="s">
        <v>93</v>
      </c>
      <c r="B82" s="156"/>
      <c r="C82" s="156"/>
      <c r="D82" s="49"/>
      <c r="E82" s="102"/>
      <c r="F82" s="72"/>
      <c r="G82" s="202" t="s">
        <v>594</v>
      </c>
      <c r="H82" s="202" t="s">
        <v>595</v>
      </c>
      <c r="K82" s="202" t="s">
        <v>602</v>
      </c>
      <c r="Y82"/>
    </row>
    <row r="83" spans="1:25" s="11" customFormat="1" ht="28.5" customHeight="1">
      <c r="A83" s="205" t="s">
        <v>28</v>
      </c>
      <c r="B83" s="210"/>
      <c r="C83" s="35"/>
      <c r="D83" s="46"/>
      <c r="E83" s="42"/>
      <c r="F83" s="57" t="s">
        <v>94</v>
      </c>
      <c r="G83" s="202"/>
      <c r="H83" s="202"/>
      <c r="K83" s="202"/>
      <c r="Y83"/>
    </row>
    <row r="84" spans="1:25" s="11" customFormat="1" ht="26.25" customHeight="1">
      <c r="A84" s="213" t="s">
        <v>588</v>
      </c>
      <c r="B84" s="214"/>
      <c r="C84" s="47"/>
      <c r="D84" s="4"/>
      <c r="E84" s="5"/>
      <c r="F84" s="118">
        <v>1</v>
      </c>
      <c r="G84" s="113">
        <v>40</v>
      </c>
      <c r="H84" s="113">
        <f aca="true" t="shared" si="5" ref="H84:H107">G84*F84</f>
        <v>40</v>
      </c>
      <c r="I84" s="4"/>
      <c r="J84" s="4"/>
      <c r="K84" s="114" t="s">
        <v>603</v>
      </c>
      <c r="Y84"/>
    </row>
    <row r="85" spans="1:25" s="11" customFormat="1" ht="14.25">
      <c r="A85" s="213" t="s">
        <v>95</v>
      </c>
      <c r="B85" s="214"/>
      <c r="C85" s="47"/>
      <c r="D85" s="4"/>
      <c r="E85" s="5"/>
      <c r="F85" s="118">
        <v>3</v>
      </c>
      <c r="G85" s="113">
        <v>40</v>
      </c>
      <c r="H85" s="113">
        <f t="shared" si="5"/>
        <v>120</v>
      </c>
      <c r="I85" s="4"/>
      <c r="J85" s="4"/>
      <c r="K85" s="114" t="s">
        <v>603</v>
      </c>
      <c r="Y85"/>
    </row>
    <row r="86" spans="1:25" s="11" customFormat="1" ht="14.25">
      <c r="A86" s="213" t="s">
        <v>96</v>
      </c>
      <c r="B86" s="214"/>
      <c r="C86" s="47"/>
      <c r="D86" s="4"/>
      <c r="E86" s="5"/>
      <c r="F86" s="118">
        <v>8</v>
      </c>
      <c r="G86" s="113">
        <v>35</v>
      </c>
      <c r="H86" s="113">
        <f t="shared" si="5"/>
        <v>280</v>
      </c>
      <c r="I86" s="4"/>
      <c r="J86" s="4"/>
      <c r="K86" s="114" t="s">
        <v>603</v>
      </c>
      <c r="Y86"/>
    </row>
    <row r="87" spans="1:25" s="11" customFormat="1" ht="14.25">
      <c r="A87" s="213" t="s">
        <v>97</v>
      </c>
      <c r="B87" s="214"/>
      <c r="C87" s="47"/>
      <c r="D87" s="4"/>
      <c r="E87" s="5"/>
      <c r="F87" s="118">
        <v>4</v>
      </c>
      <c r="G87" s="113">
        <v>20</v>
      </c>
      <c r="H87" s="113">
        <f t="shared" si="5"/>
        <v>80</v>
      </c>
      <c r="I87" s="4"/>
      <c r="J87" s="4"/>
      <c r="K87" s="114" t="s">
        <v>603</v>
      </c>
      <c r="Y87"/>
    </row>
    <row r="88" spans="1:25" s="11" customFormat="1" ht="14.25">
      <c r="A88" s="213" t="s">
        <v>98</v>
      </c>
      <c r="B88" s="214"/>
      <c r="C88" s="47"/>
      <c r="D88" s="4"/>
      <c r="E88" s="5"/>
      <c r="F88" s="118">
        <v>4</v>
      </c>
      <c r="G88" s="113">
        <v>20</v>
      </c>
      <c r="H88" s="113">
        <f t="shared" si="5"/>
        <v>80</v>
      </c>
      <c r="I88" s="4"/>
      <c r="J88" s="4"/>
      <c r="K88" s="114" t="s">
        <v>603</v>
      </c>
      <c r="Y88"/>
    </row>
    <row r="89" spans="1:25" s="11" customFormat="1" ht="14.25">
      <c r="A89" s="213" t="s">
        <v>46</v>
      </c>
      <c r="B89" s="214"/>
      <c r="C89" s="47"/>
      <c r="D89" s="4"/>
      <c r="E89" s="5"/>
      <c r="F89" s="118">
        <v>1</v>
      </c>
      <c r="G89" s="113">
        <v>45</v>
      </c>
      <c r="H89" s="113">
        <f t="shared" si="5"/>
        <v>45</v>
      </c>
      <c r="I89" s="4"/>
      <c r="J89" s="4"/>
      <c r="K89" s="114" t="s">
        <v>603</v>
      </c>
      <c r="Y89"/>
    </row>
    <row r="90" spans="1:25" s="11" customFormat="1" ht="14.25">
      <c r="A90" s="213" t="s">
        <v>47</v>
      </c>
      <c r="B90" s="214"/>
      <c r="C90" s="47"/>
      <c r="D90" s="4"/>
      <c r="E90" s="5"/>
      <c r="F90" s="118">
        <v>1</v>
      </c>
      <c r="G90" s="113">
        <v>40</v>
      </c>
      <c r="H90" s="113">
        <f t="shared" si="5"/>
        <v>40</v>
      </c>
      <c r="I90" s="4"/>
      <c r="J90" s="4"/>
      <c r="K90" s="114" t="s">
        <v>603</v>
      </c>
      <c r="Y90"/>
    </row>
    <row r="91" spans="1:25" s="11" customFormat="1" ht="14.25">
      <c r="A91" s="213" t="s">
        <v>48</v>
      </c>
      <c r="B91" s="214"/>
      <c r="C91" s="47"/>
      <c r="D91" s="4"/>
      <c r="E91" s="5"/>
      <c r="F91" s="118">
        <v>1</v>
      </c>
      <c r="G91" s="113">
        <v>35</v>
      </c>
      <c r="H91" s="113">
        <f t="shared" si="5"/>
        <v>35</v>
      </c>
      <c r="I91" s="4"/>
      <c r="J91" s="4"/>
      <c r="K91" s="114" t="s">
        <v>603</v>
      </c>
      <c r="Y91"/>
    </row>
    <row r="92" spans="1:25" s="11" customFormat="1" ht="14.25">
      <c r="A92" s="213" t="s">
        <v>49</v>
      </c>
      <c r="B92" s="214"/>
      <c r="C92" s="47"/>
      <c r="D92" s="4"/>
      <c r="E92" s="5"/>
      <c r="F92" s="118">
        <v>1</v>
      </c>
      <c r="G92" s="113">
        <v>25</v>
      </c>
      <c r="H92" s="113">
        <f t="shared" si="5"/>
        <v>25</v>
      </c>
      <c r="I92" s="4"/>
      <c r="J92" s="4"/>
      <c r="K92" s="114" t="s">
        <v>603</v>
      </c>
      <c r="Y92"/>
    </row>
    <row r="93" spans="1:25" s="11" customFormat="1" ht="14.25">
      <c r="A93" s="213" t="s">
        <v>50</v>
      </c>
      <c r="B93" s="214"/>
      <c r="C93" s="47"/>
      <c r="D93" s="4"/>
      <c r="E93" s="5"/>
      <c r="F93" s="118">
        <v>3</v>
      </c>
      <c r="G93" s="113">
        <v>35</v>
      </c>
      <c r="H93" s="113">
        <f t="shared" si="5"/>
        <v>105</v>
      </c>
      <c r="I93" s="4"/>
      <c r="J93" s="4"/>
      <c r="K93" s="114" t="s">
        <v>603</v>
      </c>
      <c r="Y93"/>
    </row>
    <row r="94" spans="1:25" s="11" customFormat="1" ht="14.25">
      <c r="A94" s="213" t="s">
        <v>51</v>
      </c>
      <c r="B94" s="214"/>
      <c r="C94" s="47"/>
      <c r="D94" s="4"/>
      <c r="E94" s="5"/>
      <c r="F94" s="118">
        <v>8</v>
      </c>
      <c r="G94" s="113">
        <v>35</v>
      </c>
      <c r="H94" s="113">
        <f t="shared" si="5"/>
        <v>280</v>
      </c>
      <c r="I94" s="4"/>
      <c r="J94" s="4"/>
      <c r="K94" s="114" t="s">
        <v>603</v>
      </c>
      <c r="Y94"/>
    </row>
    <row r="95" spans="1:25" s="11" customFormat="1" ht="14.25">
      <c r="A95" s="213" t="s">
        <v>52</v>
      </c>
      <c r="B95" s="214"/>
      <c r="C95" s="47"/>
      <c r="D95" s="4"/>
      <c r="E95" s="5"/>
      <c r="F95" s="118">
        <v>2</v>
      </c>
      <c r="G95" s="113">
        <v>45</v>
      </c>
      <c r="H95" s="113">
        <f t="shared" si="5"/>
        <v>90</v>
      </c>
      <c r="I95" s="4"/>
      <c r="J95" s="4"/>
      <c r="K95" s="114" t="s">
        <v>603</v>
      </c>
      <c r="Y95"/>
    </row>
    <row r="96" spans="1:25" s="11" customFormat="1" ht="14.25">
      <c r="A96" s="213" t="s">
        <v>53</v>
      </c>
      <c r="B96" s="214"/>
      <c r="C96" s="47"/>
      <c r="D96" s="4"/>
      <c r="E96" s="5"/>
      <c r="F96" s="118">
        <v>13</v>
      </c>
      <c r="G96" s="113">
        <v>55</v>
      </c>
      <c r="H96" s="113">
        <f t="shared" si="5"/>
        <v>715</v>
      </c>
      <c r="I96" s="4"/>
      <c r="J96" s="4"/>
      <c r="K96" s="114" t="s">
        <v>603</v>
      </c>
      <c r="Y96"/>
    </row>
    <row r="97" spans="1:25" s="11" customFormat="1" ht="14.25">
      <c r="A97" s="213" t="s">
        <v>54</v>
      </c>
      <c r="B97" s="214"/>
      <c r="C97" s="47"/>
      <c r="D97" s="4"/>
      <c r="E97" s="5"/>
      <c r="F97" s="118">
        <v>14</v>
      </c>
      <c r="G97" s="113">
        <v>45</v>
      </c>
      <c r="H97" s="113">
        <f t="shared" si="5"/>
        <v>630</v>
      </c>
      <c r="I97" s="4"/>
      <c r="J97" s="4"/>
      <c r="K97" s="114" t="s">
        <v>603</v>
      </c>
      <c r="Y97"/>
    </row>
    <row r="98" spans="1:25" s="11" customFormat="1" ht="14.25">
      <c r="A98" s="213" t="s">
        <v>55</v>
      </c>
      <c r="B98" s="214"/>
      <c r="C98" s="47"/>
      <c r="D98" s="4"/>
      <c r="E98" s="5"/>
      <c r="F98" s="118">
        <v>3</v>
      </c>
      <c r="G98" s="113">
        <v>80</v>
      </c>
      <c r="H98" s="113">
        <f t="shared" si="5"/>
        <v>240</v>
      </c>
      <c r="I98" s="4"/>
      <c r="J98" s="4"/>
      <c r="K98" s="114" t="s">
        <v>603</v>
      </c>
      <c r="Y98"/>
    </row>
    <row r="99" spans="1:25" s="11" customFormat="1" ht="14.25">
      <c r="A99" s="213" t="s">
        <v>56</v>
      </c>
      <c r="B99" s="214"/>
      <c r="C99" s="47"/>
      <c r="D99" s="4"/>
      <c r="E99" s="5"/>
      <c r="F99" s="118">
        <v>8</v>
      </c>
      <c r="G99" s="113">
        <v>35</v>
      </c>
      <c r="H99" s="113">
        <f t="shared" si="5"/>
        <v>280</v>
      </c>
      <c r="I99" s="4"/>
      <c r="J99" s="4"/>
      <c r="K99" s="114" t="s">
        <v>603</v>
      </c>
      <c r="Y99"/>
    </row>
    <row r="100" spans="1:25" s="11" customFormat="1" ht="14.25">
      <c r="A100" s="213" t="s">
        <v>57</v>
      </c>
      <c r="B100" s="214"/>
      <c r="C100" s="47"/>
      <c r="D100" s="4"/>
      <c r="E100" s="5"/>
      <c r="F100" s="118">
        <v>6</v>
      </c>
      <c r="G100" s="113">
        <v>25</v>
      </c>
      <c r="H100" s="113">
        <f t="shared" si="5"/>
        <v>150</v>
      </c>
      <c r="I100" s="4"/>
      <c r="J100" s="4"/>
      <c r="K100" s="114" t="s">
        <v>603</v>
      </c>
      <c r="Y100"/>
    </row>
    <row r="101" spans="1:25" s="11" customFormat="1" ht="14.25">
      <c r="A101" s="213" t="s">
        <v>58</v>
      </c>
      <c r="B101" s="214"/>
      <c r="C101" s="47"/>
      <c r="D101" s="4"/>
      <c r="E101" s="5"/>
      <c r="F101" s="118">
        <v>18</v>
      </c>
      <c r="G101" s="113">
        <v>10</v>
      </c>
      <c r="H101" s="113">
        <f t="shared" si="5"/>
        <v>180</v>
      </c>
      <c r="I101" s="4"/>
      <c r="J101" s="4"/>
      <c r="K101" s="114" t="s">
        <v>603</v>
      </c>
      <c r="Y101"/>
    </row>
    <row r="102" spans="1:25" s="11" customFormat="1" ht="14.25">
      <c r="A102" s="213" t="s">
        <v>59</v>
      </c>
      <c r="B102" s="214"/>
      <c r="C102" s="47"/>
      <c r="D102" s="4"/>
      <c r="E102" s="5"/>
      <c r="F102" s="118">
        <v>15</v>
      </c>
      <c r="G102" s="113">
        <v>15</v>
      </c>
      <c r="H102" s="113">
        <f t="shared" si="5"/>
        <v>225</v>
      </c>
      <c r="I102" s="4"/>
      <c r="J102" s="4"/>
      <c r="K102" s="114" t="s">
        <v>603</v>
      </c>
      <c r="Y102"/>
    </row>
    <row r="103" spans="1:25" s="11" customFormat="1" ht="14.25">
      <c r="A103" s="213" t="s">
        <v>60</v>
      </c>
      <c r="B103" s="214"/>
      <c r="C103" s="47"/>
      <c r="D103" s="4"/>
      <c r="E103" s="5"/>
      <c r="F103" s="118">
        <v>4</v>
      </c>
      <c r="G103" s="113">
        <v>15</v>
      </c>
      <c r="H103" s="113">
        <f t="shared" si="5"/>
        <v>60</v>
      </c>
      <c r="I103" s="4"/>
      <c r="J103" s="4"/>
      <c r="K103" s="114" t="s">
        <v>603</v>
      </c>
      <c r="Y103"/>
    </row>
    <row r="104" spans="1:25" s="11" customFormat="1" ht="14.25">
      <c r="A104" s="213" t="s">
        <v>61</v>
      </c>
      <c r="B104" s="214"/>
      <c r="C104" s="47"/>
      <c r="D104" s="4"/>
      <c r="E104" s="5"/>
      <c r="F104" s="118">
        <v>1</v>
      </c>
      <c r="G104" s="113">
        <v>40</v>
      </c>
      <c r="H104" s="113">
        <f t="shared" si="5"/>
        <v>40</v>
      </c>
      <c r="I104" s="4"/>
      <c r="J104" s="4"/>
      <c r="K104" s="114" t="s">
        <v>603</v>
      </c>
      <c r="Y104"/>
    </row>
    <row r="105" spans="1:25" s="11" customFormat="1" ht="14.25">
      <c r="A105" s="213" t="s">
        <v>62</v>
      </c>
      <c r="B105" s="214"/>
      <c r="C105" s="48"/>
      <c r="D105" s="4"/>
      <c r="E105" s="5"/>
      <c r="F105" s="118">
        <v>5</v>
      </c>
      <c r="G105" s="113">
        <v>25</v>
      </c>
      <c r="H105" s="113">
        <f t="shared" si="5"/>
        <v>125</v>
      </c>
      <c r="I105" s="4"/>
      <c r="J105" s="4"/>
      <c r="K105" s="114" t="s">
        <v>603</v>
      </c>
      <c r="Y105"/>
    </row>
    <row r="106" spans="1:25" s="11" customFormat="1" ht="14.25">
      <c r="A106" s="213" t="s">
        <v>63</v>
      </c>
      <c r="B106" s="214"/>
      <c r="C106" s="47"/>
      <c r="D106" s="4"/>
      <c r="E106" s="5"/>
      <c r="F106" s="118">
        <v>1</v>
      </c>
      <c r="G106" s="113">
        <v>60</v>
      </c>
      <c r="H106" s="113">
        <f t="shared" si="5"/>
        <v>60</v>
      </c>
      <c r="I106" s="4"/>
      <c r="J106" s="4"/>
      <c r="K106" s="114" t="s">
        <v>603</v>
      </c>
      <c r="Y106"/>
    </row>
    <row r="107" spans="1:25" s="11" customFormat="1" ht="15" thickBot="1">
      <c r="A107" s="214" t="s">
        <v>64</v>
      </c>
      <c r="B107" s="214"/>
      <c r="C107" s="47"/>
      <c r="D107" s="4"/>
      <c r="E107" s="5"/>
      <c r="F107" s="165">
        <v>5</v>
      </c>
      <c r="G107" s="113">
        <v>10</v>
      </c>
      <c r="H107" s="136">
        <f t="shared" si="5"/>
        <v>50</v>
      </c>
      <c r="I107" s="141"/>
      <c r="J107" s="4"/>
      <c r="K107" s="114" t="s">
        <v>603</v>
      </c>
      <c r="Y107"/>
    </row>
    <row r="108" spans="1:25" s="11" customFormat="1" ht="15" thickTop="1">
      <c r="A108" s="144"/>
      <c r="B108" s="144"/>
      <c r="C108" s="222" t="s">
        <v>621</v>
      </c>
      <c r="D108" s="222"/>
      <c r="E108" s="222"/>
      <c r="F108" s="165"/>
      <c r="G108" s="5"/>
      <c r="H108" s="175">
        <f>SUM(H84:H107)</f>
        <v>3975</v>
      </c>
      <c r="Y108"/>
    </row>
    <row r="109" spans="1:25" s="11" customFormat="1" ht="18">
      <c r="A109" s="228" t="s">
        <v>624</v>
      </c>
      <c r="B109" s="228"/>
      <c r="C109" s="228"/>
      <c r="D109" s="228"/>
      <c r="E109" s="228"/>
      <c r="F109" s="228"/>
      <c r="G109" s="178"/>
      <c r="H109" s="179">
        <f>H24+H36+H43+H55+H64+H73+H79+H108</f>
        <v>21520</v>
      </c>
      <c r="Y109"/>
    </row>
    <row r="110" spans="1:25" s="11" customFormat="1" ht="18.75" thickBot="1">
      <c r="A110" s="184"/>
      <c r="B110" s="184"/>
      <c r="C110" s="184"/>
      <c r="D110" s="184"/>
      <c r="E110" s="184"/>
      <c r="F110" s="184"/>
      <c r="G110" s="178"/>
      <c r="H110" s="179"/>
      <c r="Y110"/>
    </row>
    <row r="111" spans="1:25" s="11" customFormat="1" ht="30" customHeight="1" thickBot="1">
      <c r="A111" s="232" t="s">
        <v>1</v>
      </c>
      <c r="B111" s="233"/>
      <c r="C111" s="233"/>
      <c r="D111" s="233"/>
      <c r="E111" s="233"/>
      <c r="F111" s="233"/>
      <c r="G111" s="233"/>
      <c r="H111" s="233"/>
      <c r="I111" s="153"/>
      <c r="J111" s="153"/>
      <c r="K111" s="188"/>
      <c r="L111" s="4"/>
      <c r="Y111"/>
    </row>
    <row r="112" spans="1:25" s="27" customFormat="1" ht="35.25" customHeight="1" thickBot="1">
      <c r="A112" s="157" t="s">
        <v>582</v>
      </c>
      <c r="B112" s="158"/>
      <c r="C112" s="158"/>
      <c r="D112" s="158"/>
      <c r="E112" s="158"/>
      <c r="F112" s="159"/>
      <c r="G112" s="119"/>
      <c r="H112" s="215" t="s">
        <v>597</v>
      </c>
      <c r="I112" s="11"/>
      <c r="J112" s="11"/>
      <c r="K112" s="202" t="s">
        <v>596</v>
      </c>
      <c r="L112" s="187"/>
      <c r="Y112" s="71"/>
    </row>
    <row r="113" spans="1:12" s="11" customFormat="1" ht="37.5" customHeight="1">
      <c r="A113" s="73" t="s">
        <v>99</v>
      </c>
      <c r="B113" s="160" t="s">
        <v>586</v>
      </c>
      <c r="C113" s="161"/>
      <c r="D113" s="162"/>
      <c r="E113" s="74" t="s">
        <v>100</v>
      </c>
      <c r="F113" s="74" t="s">
        <v>585</v>
      </c>
      <c r="G113" s="120" t="s">
        <v>101</v>
      </c>
      <c r="H113" s="202"/>
      <c r="I113" s="128"/>
      <c r="J113" s="128"/>
      <c r="K113" s="202"/>
      <c r="L113" s="215" t="s">
        <v>602</v>
      </c>
    </row>
    <row r="114" spans="1:12" s="128" customFormat="1" ht="25.5" customHeight="1">
      <c r="A114" s="75" t="s">
        <v>105</v>
      </c>
      <c r="B114" s="58" t="s">
        <v>102</v>
      </c>
      <c r="C114" s="58" t="s">
        <v>103</v>
      </c>
      <c r="D114" s="58" t="s">
        <v>104</v>
      </c>
      <c r="E114" s="60">
        <v>14.79</v>
      </c>
      <c r="F114" s="61">
        <f>2</f>
        <v>2</v>
      </c>
      <c r="G114" s="121">
        <f aca="true" t="shared" si="6" ref="G114:G145">F114*E114</f>
        <v>29.58</v>
      </c>
      <c r="H114" s="113">
        <f aca="true" t="shared" si="7" ref="H114:H145">E114*0.5</f>
        <v>7.395</v>
      </c>
      <c r="I114" s="113"/>
      <c r="J114" s="113"/>
      <c r="K114" s="113">
        <f aca="true" t="shared" si="8" ref="K114:K145">H114*F114</f>
        <v>14.79</v>
      </c>
      <c r="L114" s="202"/>
    </row>
    <row r="115" spans="1:12" ht="13.5">
      <c r="A115" s="75" t="s">
        <v>107</v>
      </c>
      <c r="B115" s="58" t="s">
        <v>102</v>
      </c>
      <c r="C115" s="58" t="s">
        <v>106</v>
      </c>
      <c r="D115" s="58" t="s">
        <v>104</v>
      </c>
      <c r="E115" s="60">
        <v>10.65</v>
      </c>
      <c r="F115" s="61">
        <f>1+7+3</f>
        <v>11</v>
      </c>
      <c r="G115" s="121">
        <f t="shared" si="6"/>
        <v>117.15</v>
      </c>
      <c r="H115" s="113">
        <f t="shared" si="7"/>
        <v>5.325</v>
      </c>
      <c r="I115" s="113"/>
      <c r="J115" s="113"/>
      <c r="K115" s="113">
        <f t="shared" si="8"/>
        <v>58.575</v>
      </c>
      <c r="L115" s="114" t="s">
        <v>604</v>
      </c>
    </row>
    <row r="116" spans="1:12" ht="13.5">
      <c r="A116" s="76" t="s">
        <v>109</v>
      </c>
      <c r="B116" s="58" t="s">
        <v>102</v>
      </c>
      <c r="C116" s="58" t="s">
        <v>108</v>
      </c>
      <c r="D116" s="58" t="s">
        <v>104</v>
      </c>
      <c r="E116" s="62">
        <v>61.6</v>
      </c>
      <c r="F116" s="61">
        <f>1</f>
        <v>1</v>
      </c>
      <c r="G116" s="121">
        <f t="shared" si="6"/>
        <v>61.6</v>
      </c>
      <c r="H116" s="113">
        <f t="shared" si="7"/>
        <v>30.8</v>
      </c>
      <c r="I116" s="113"/>
      <c r="J116" s="113"/>
      <c r="K116" s="113">
        <f t="shared" si="8"/>
        <v>30.8</v>
      </c>
      <c r="L116" s="114" t="s">
        <v>604</v>
      </c>
    </row>
    <row r="117" spans="1:25" s="11" customFormat="1" ht="13.5">
      <c r="A117" s="75" t="s">
        <v>110</v>
      </c>
      <c r="B117" s="58" t="s">
        <v>102</v>
      </c>
      <c r="C117" s="58" t="s">
        <v>108</v>
      </c>
      <c r="D117" s="58" t="s">
        <v>104</v>
      </c>
      <c r="E117" s="62">
        <v>55</v>
      </c>
      <c r="F117" s="61">
        <f>1</f>
        <v>1</v>
      </c>
      <c r="G117" s="121">
        <f t="shared" si="6"/>
        <v>55</v>
      </c>
      <c r="H117" s="113">
        <f t="shared" si="7"/>
        <v>27.5</v>
      </c>
      <c r="I117" s="113"/>
      <c r="J117" s="113"/>
      <c r="K117" s="113">
        <f t="shared" si="8"/>
        <v>27.5</v>
      </c>
      <c r="L117" s="114" t="s">
        <v>604</v>
      </c>
      <c r="Y117"/>
    </row>
    <row r="118" spans="1:25" s="11" customFormat="1" ht="13.5">
      <c r="A118" s="75" t="s">
        <v>111</v>
      </c>
      <c r="B118" s="58" t="s">
        <v>102</v>
      </c>
      <c r="C118" s="58" t="s">
        <v>108</v>
      </c>
      <c r="D118" s="58" t="s">
        <v>104</v>
      </c>
      <c r="E118" s="60">
        <v>44.5</v>
      </c>
      <c r="F118" s="61">
        <f>4</f>
        <v>4</v>
      </c>
      <c r="G118" s="121">
        <f t="shared" si="6"/>
        <v>178</v>
      </c>
      <c r="H118" s="113">
        <f t="shared" si="7"/>
        <v>22.25</v>
      </c>
      <c r="I118" s="113"/>
      <c r="J118" s="113"/>
      <c r="K118" s="113">
        <f t="shared" si="8"/>
        <v>89</v>
      </c>
      <c r="L118" s="114" t="s">
        <v>604</v>
      </c>
      <c r="Y118"/>
    </row>
    <row r="119" spans="1:25" s="11" customFormat="1" ht="13.5">
      <c r="A119" s="75" t="s">
        <v>113</v>
      </c>
      <c r="B119" s="58" t="s">
        <v>102</v>
      </c>
      <c r="C119" s="58" t="s">
        <v>112</v>
      </c>
      <c r="D119" s="58" t="s">
        <v>104</v>
      </c>
      <c r="E119" s="60">
        <v>21.8</v>
      </c>
      <c r="F119" s="61">
        <f>2</f>
        <v>2</v>
      </c>
      <c r="G119" s="121">
        <f t="shared" si="6"/>
        <v>43.6</v>
      </c>
      <c r="H119" s="113">
        <f t="shared" si="7"/>
        <v>10.9</v>
      </c>
      <c r="I119" s="113"/>
      <c r="J119" s="113"/>
      <c r="K119" s="113">
        <f t="shared" si="8"/>
        <v>21.8</v>
      </c>
      <c r="L119" s="114" t="s">
        <v>604</v>
      </c>
      <c r="Y119"/>
    </row>
    <row r="120" spans="1:25" s="11" customFormat="1" ht="13.5">
      <c r="A120" s="75" t="s">
        <v>114</v>
      </c>
      <c r="B120" s="58" t="s">
        <v>102</v>
      </c>
      <c r="C120" s="58" t="s">
        <v>108</v>
      </c>
      <c r="D120" s="58" t="s">
        <v>104</v>
      </c>
      <c r="E120" s="62">
        <v>98</v>
      </c>
      <c r="F120" s="61">
        <f>2</f>
        <v>2</v>
      </c>
      <c r="G120" s="121">
        <f t="shared" si="6"/>
        <v>196</v>
      </c>
      <c r="H120" s="113">
        <f t="shared" si="7"/>
        <v>49</v>
      </c>
      <c r="I120" s="113"/>
      <c r="J120" s="113"/>
      <c r="K120" s="113">
        <f t="shared" si="8"/>
        <v>98</v>
      </c>
      <c r="L120" s="114" t="s">
        <v>604</v>
      </c>
      <c r="Y120"/>
    </row>
    <row r="121" spans="1:25" s="11" customFormat="1" ht="13.5">
      <c r="A121" s="75" t="s">
        <v>116</v>
      </c>
      <c r="B121" s="58" t="s">
        <v>102</v>
      </c>
      <c r="C121" s="58" t="s">
        <v>115</v>
      </c>
      <c r="D121" s="58" t="s">
        <v>104</v>
      </c>
      <c r="E121" s="60">
        <v>27.5</v>
      </c>
      <c r="F121" s="61">
        <f>4</f>
        <v>4</v>
      </c>
      <c r="G121" s="121">
        <f t="shared" si="6"/>
        <v>110</v>
      </c>
      <c r="H121" s="113">
        <f t="shared" si="7"/>
        <v>13.75</v>
      </c>
      <c r="I121" s="113"/>
      <c r="J121" s="113"/>
      <c r="K121" s="113">
        <f t="shared" si="8"/>
        <v>55</v>
      </c>
      <c r="L121" s="114" t="s">
        <v>604</v>
      </c>
      <c r="Y121"/>
    </row>
    <row r="122" spans="1:25" s="11" customFormat="1" ht="13.5">
      <c r="A122" s="75" t="s">
        <v>117</v>
      </c>
      <c r="B122" s="58" t="s">
        <v>102</v>
      </c>
      <c r="C122" s="58" t="s">
        <v>115</v>
      </c>
      <c r="D122" s="58" t="s">
        <v>104</v>
      </c>
      <c r="E122" s="60">
        <v>20.95</v>
      </c>
      <c r="F122" s="61">
        <f>1</f>
        <v>1</v>
      </c>
      <c r="G122" s="121">
        <f t="shared" si="6"/>
        <v>20.95</v>
      </c>
      <c r="H122" s="113">
        <f t="shared" si="7"/>
        <v>10.475</v>
      </c>
      <c r="I122" s="113"/>
      <c r="J122" s="113"/>
      <c r="K122" s="113">
        <f t="shared" si="8"/>
        <v>10.475</v>
      </c>
      <c r="L122" s="114" t="s">
        <v>604</v>
      </c>
      <c r="Y122"/>
    </row>
    <row r="123" spans="1:25" s="11" customFormat="1" ht="13.5">
      <c r="A123" s="75" t="s">
        <v>118</v>
      </c>
      <c r="B123" s="58" t="s">
        <v>102</v>
      </c>
      <c r="C123" s="58" t="s">
        <v>115</v>
      </c>
      <c r="D123" s="58" t="s">
        <v>104</v>
      </c>
      <c r="E123" s="60">
        <v>6.35</v>
      </c>
      <c r="F123" s="61">
        <f>2</f>
        <v>2</v>
      </c>
      <c r="G123" s="121">
        <f t="shared" si="6"/>
        <v>12.7</v>
      </c>
      <c r="H123" s="113">
        <f t="shared" si="7"/>
        <v>3.175</v>
      </c>
      <c r="I123" s="113"/>
      <c r="J123" s="113"/>
      <c r="K123" s="113">
        <f t="shared" si="8"/>
        <v>6.35</v>
      </c>
      <c r="L123" s="114" t="s">
        <v>604</v>
      </c>
      <c r="Y123"/>
    </row>
    <row r="124" spans="1:25" s="11" customFormat="1" ht="13.5">
      <c r="A124" s="75" t="s">
        <v>119</v>
      </c>
      <c r="B124" s="58" t="s">
        <v>102</v>
      </c>
      <c r="C124" s="58" t="s">
        <v>108</v>
      </c>
      <c r="D124" s="58" t="s">
        <v>104</v>
      </c>
      <c r="E124" s="62">
        <v>43.5</v>
      </c>
      <c r="F124" s="61">
        <f>1+2</f>
        <v>3</v>
      </c>
      <c r="G124" s="121">
        <f t="shared" si="6"/>
        <v>130.5</v>
      </c>
      <c r="H124" s="113">
        <f t="shared" si="7"/>
        <v>21.75</v>
      </c>
      <c r="I124" s="113"/>
      <c r="J124" s="113"/>
      <c r="K124" s="113">
        <f t="shared" si="8"/>
        <v>65.25</v>
      </c>
      <c r="L124" s="114" t="s">
        <v>604</v>
      </c>
      <c r="Y124"/>
    </row>
    <row r="125" spans="1:25" s="11" customFormat="1" ht="13.5">
      <c r="A125" s="75" t="s">
        <v>120</v>
      </c>
      <c r="B125" s="58" t="s">
        <v>102</v>
      </c>
      <c r="C125" s="58" t="s">
        <v>112</v>
      </c>
      <c r="D125" s="58" t="s">
        <v>104</v>
      </c>
      <c r="E125" s="60">
        <v>54.14</v>
      </c>
      <c r="F125" s="61">
        <f>7</f>
        <v>7</v>
      </c>
      <c r="G125" s="121">
        <f t="shared" si="6"/>
        <v>378.98</v>
      </c>
      <c r="H125" s="113">
        <f t="shared" si="7"/>
        <v>27.07</v>
      </c>
      <c r="I125" s="113"/>
      <c r="J125" s="113"/>
      <c r="K125" s="113">
        <f t="shared" si="8"/>
        <v>189.49</v>
      </c>
      <c r="L125" s="114" t="s">
        <v>604</v>
      </c>
      <c r="Y125"/>
    </row>
    <row r="126" spans="1:25" s="11" customFormat="1" ht="13.5">
      <c r="A126" s="75" t="s">
        <v>121</v>
      </c>
      <c r="B126" s="58" t="s">
        <v>102</v>
      </c>
      <c r="C126" s="58" t="s">
        <v>115</v>
      </c>
      <c r="D126" s="58" t="s">
        <v>104</v>
      </c>
      <c r="E126" s="60">
        <v>10.8</v>
      </c>
      <c r="F126" s="61">
        <f>1</f>
        <v>1</v>
      </c>
      <c r="G126" s="121">
        <f t="shared" si="6"/>
        <v>10.8</v>
      </c>
      <c r="H126" s="113">
        <f t="shared" si="7"/>
        <v>5.4</v>
      </c>
      <c r="I126" s="113"/>
      <c r="J126" s="113"/>
      <c r="K126" s="113">
        <f t="shared" si="8"/>
        <v>5.4</v>
      </c>
      <c r="L126" s="114" t="s">
        <v>604</v>
      </c>
      <c r="Y126"/>
    </row>
    <row r="127" spans="1:25" s="11" customFormat="1" ht="13.5">
      <c r="A127" s="75" t="s">
        <v>122</v>
      </c>
      <c r="B127" s="58" t="s">
        <v>102</v>
      </c>
      <c r="C127" s="58" t="s">
        <v>106</v>
      </c>
      <c r="D127" s="58" t="s">
        <v>104</v>
      </c>
      <c r="E127" s="60">
        <v>17</v>
      </c>
      <c r="F127" s="61">
        <f>2</f>
        <v>2</v>
      </c>
      <c r="G127" s="121">
        <f t="shared" si="6"/>
        <v>34</v>
      </c>
      <c r="H127" s="113">
        <f t="shared" si="7"/>
        <v>8.5</v>
      </c>
      <c r="I127" s="113"/>
      <c r="J127" s="113"/>
      <c r="K127" s="113">
        <f t="shared" si="8"/>
        <v>17</v>
      </c>
      <c r="L127" s="114" t="s">
        <v>604</v>
      </c>
      <c r="Y127"/>
    </row>
    <row r="128" spans="1:25" s="11" customFormat="1" ht="13.5">
      <c r="A128" s="75" t="s">
        <v>123</v>
      </c>
      <c r="B128" s="58" t="s">
        <v>102</v>
      </c>
      <c r="C128" s="58" t="s">
        <v>108</v>
      </c>
      <c r="D128" s="58" t="s">
        <v>104</v>
      </c>
      <c r="E128" s="60">
        <v>58</v>
      </c>
      <c r="F128" s="61">
        <f>2+1</f>
        <v>3</v>
      </c>
      <c r="G128" s="121">
        <f t="shared" si="6"/>
        <v>174</v>
      </c>
      <c r="H128" s="113">
        <f t="shared" si="7"/>
        <v>29</v>
      </c>
      <c r="I128" s="113"/>
      <c r="J128" s="113"/>
      <c r="K128" s="113">
        <f t="shared" si="8"/>
        <v>87</v>
      </c>
      <c r="L128" s="114" t="s">
        <v>604</v>
      </c>
      <c r="Y128"/>
    </row>
    <row r="129" spans="1:25" s="11" customFormat="1" ht="13.5">
      <c r="A129" s="75" t="s">
        <v>122</v>
      </c>
      <c r="B129" s="58" t="s">
        <v>102</v>
      </c>
      <c r="C129" s="58" t="s">
        <v>106</v>
      </c>
      <c r="D129" s="58" t="s">
        <v>104</v>
      </c>
      <c r="E129" s="62">
        <v>7.8</v>
      </c>
      <c r="F129" s="61">
        <f>2</f>
        <v>2</v>
      </c>
      <c r="G129" s="121">
        <f t="shared" si="6"/>
        <v>15.6</v>
      </c>
      <c r="H129" s="113">
        <f t="shared" si="7"/>
        <v>3.9</v>
      </c>
      <c r="I129" s="113"/>
      <c r="J129" s="113"/>
      <c r="K129" s="113">
        <f t="shared" si="8"/>
        <v>7.8</v>
      </c>
      <c r="L129" s="114" t="s">
        <v>604</v>
      </c>
      <c r="Y129"/>
    </row>
    <row r="130" spans="1:25" s="11" customFormat="1" ht="13.5">
      <c r="A130" s="75" t="s">
        <v>125</v>
      </c>
      <c r="B130" s="58" t="s">
        <v>102</v>
      </c>
      <c r="C130" s="58" t="s">
        <v>124</v>
      </c>
      <c r="D130" s="58" t="s">
        <v>104</v>
      </c>
      <c r="E130" s="60">
        <v>64.89</v>
      </c>
      <c r="F130" s="61">
        <f>1</f>
        <v>1</v>
      </c>
      <c r="G130" s="121">
        <f t="shared" si="6"/>
        <v>64.89</v>
      </c>
      <c r="H130" s="113">
        <f t="shared" si="7"/>
        <v>32.445</v>
      </c>
      <c r="I130" s="113"/>
      <c r="J130" s="113"/>
      <c r="K130" s="113">
        <f t="shared" si="8"/>
        <v>32.445</v>
      </c>
      <c r="L130" s="114" t="s">
        <v>604</v>
      </c>
      <c r="Y130"/>
    </row>
    <row r="131" spans="1:25" s="11" customFormat="1" ht="13.5">
      <c r="A131" s="75" t="s">
        <v>122</v>
      </c>
      <c r="B131" s="58" t="s">
        <v>102</v>
      </c>
      <c r="C131" s="58" t="s">
        <v>106</v>
      </c>
      <c r="D131" s="58" t="s">
        <v>104</v>
      </c>
      <c r="E131" s="60">
        <v>11.3</v>
      </c>
      <c r="F131" s="61">
        <f>2</f>
        <v>2</v>
      </c>
      <c r="G131" s="121">
        <f t="shared" si="6"/>
        <v>22.6</v>
      </c>
      <c r="H131" s="113">
        <f t="shared" si="7"/>
        <v>5.65</v>
      </c>
      <c r="I131" s="113"/>
      <c r="J131" s="113"/>
      <c r="K131" s="113">
        <f t="shared" si="8"/>
        <v>11.3</v>
      </c>
      <c r="L131" s="114" t="s">
        <v>604</v>
      </c>
      <c r="Y131"/>
    </row>
    <row r="132" spans="1:25" s="11" customFormat="1" ht="13.5">
      <c r="A132" s="75" t="s">
        <v>122</v>
      </c>
      <c r="B132" s="58" t="s">
        <v>102</v>
      </c>
      <c r="C132" s="58" t="s">
        <v>106</v>
      </c>
      <c r="D132" s="58" t="s">
        <v>104</v>
      </c>
      <c r="E132" s="60">
        <v>11.29</v>
      </c>
      <c r="F132" s="61">
        <f>5</f>
        <v>5</v>
      </c>
      <c r="G132" s="121">
        <f t="shared" si="6"/>
        <v>56.449999999999996</v>
      </c>
      <c r="H132" s="113">
        <f t="shared" si="7"/>
        <v>5.645</v>
      </c>
      <c r="I132" s="113"/>
      <c r="J132" s="113"/>
      <c r="K132" s="113">
        <f t="shared" si="8"/>
        <v>28.224999999999998</v>
      </c>
      <c r="L132" s="114" t="s">
        <v>604</v>
      </c>
      <c r="Y132"/>
    </row>
    <row r="133" spans="1:25" s="11" customFormat="1" ht="13.5">
      <c r="A133" s="75" t="s">
        <v>122</v>
      </c>
      <c r="B133" s="58" t="s">
        <v>102</v>
      </c>
      <c r="C133" s="58" t="s">
        <v>106</v>
      </c>
      <c r="D133" s="58" t="s">
        <v>104</v>
      </c>
      <c r="E133" s="60">
        <v>11.29</v>
      </c>
      <c r="F133" s="61">
        <f>3</f>
        <v>3</v>
      </c>
      <c r="G133" s="121">
        <f t="shared" si="6"/>
        <v>33.87</v>
      </c>
      <c r="H133" s="113">
        <f t="shared" si="7"/>
        <v>5.645</v>
      </c>
      <c r="I133" s="113"/>
      <c r="J133" s="113"/>
      <c r="K133" s="113">
        <f t="shared" si="8"/>
        <v>16.935</v>
      </c>
      <c r="L133" s="114" t="s">
        <v>604</v>
      </c>
      <c r="Y133"/>
    </row>
    <row r="134" spans="1:25" s="11" customFormat="1" ht="13.5">
      <c r="A134" s="75" t="s">
        <v>126</v>
      </c>
      <c r="B134" s="58" t="s">
        <v>102</v>
      </c>
      <c r="C134" s="58" t="s">
        <v>106</v>
      </c>
      <c r="D134" s="58" t="s">
        <v>104</v>
      </c>
      <c r="E134" s="60">
        <v>13.59</v>
      </c>
      <c r="F134" s="61">
        <f>1+2</f>
        <v>3</v>
      </c>
      <c r="G134" s="121">
        <f t="shared" si="6"/>
        <v>40.769999999999996</v>
      </c>
      <c r="H134" s="113">
        <f t="shared" si="7"/>
        <v>6.795</v>
      </c>
      <c r="I134" s="113"/>
      <c r="J134" s="113"/>
      <c r="K134" s="113">
        <f t="shared" si="8"/>
        <v>20.384999999999998</v>
      </c>
      <c r="L134" s="114" t="s">
        <v>604</v>
      </c>
      <c r="Y134"/>
    </row>
    <row r="135" spans="1:25" s="11" customFormat="1" ht="13.5">
      <c r="A135" s="76" t="s">
        <v>127</v>
      </c>
      <c r="B135" s="58" t="s">
        <v>102</v>
      </c>
      <c r="C135" s="58" t="s">
        <v>106</v>
      </c>
      <c r="D135" s="58" t="s">
        <v>104</v>
      </c>
      <c r="E135" s="62">
        <v>3.69</v>
      </c>
      <c r="F135" s="61">
        <f>2</f>
        <v>2</v>
      </c>
      <c r="G135" s="121">
        <f t="shared" si="6"/>
        <v>7.38</v>
      </c>
      <c r="H135" s="113">
        <f t="shared" si="7"/>
        <v>1.845</v>
      </c>
      <c r="I135" s="113"/>
      <c r="J135" s="113"/>
      <c r="K135" s="113">
        <f t="shared" si="8"/>
        <v>3.69</v>
      </c>
      <c r="L135" s="114" t="s">
        <v>604</v>
      </c>
      <c r="Y135"/>
    </row>
    <row r="136" spans="1:25" s="11" customFormat="1" ht="13.5">
      <c r="A136" s="75" t="s">
        <v>128</v>
      </c>
      <c r="B136" s="58" t="s">
        <v>102</v>
      </c>
      <c r="C136" s="58" t="s">
        <v>115</v>
      </c>
      <c r="D136" s="58" t="s">
        <v>104</v>
      </c>
      <c r="E136" s="60">
        <v>6.5</v>
      </c>
      <c r="F136" s="61">
        <f>7</f>
        <v>7</v>
      </c>
      <c r="G136" s="121">
        <f t="shared" si="6"/>
        <v>45.5</v>
      </c>
      <c r="H136" s="113">
        <f t="shared" si="7"/>
        <v>3.25</v>
      </c>
      <c r="I136" s="113"/>
      <c r="J136" s="113"/>
      <c r="K136" s="113">
        <f t="shared" si="8"/>
        <v>22.75</v>
      </c>
      <c r="L136" s="114" t="s">
        <v>604</v>
      </c>
      <c r="Y136"/>
    </row>
    <row r="137" spans="1:25" s="11" customFormat="1" ht="13.5">
      <c r="A137" s="75" t="s">
        <v>129</v>
      </c>
      <c r="B137" s="58" t="s">
        <v>102</v>
      </c>
      <c r="C137" s="58" t="s">
        <v>106</v>
      </c>
      <c r="D137" s="58" t="s">
        <v>104</v>
      </c>
      <c r="E137" s="62">
        <v>4</v>
      </c>
      <c r="F137" s="61">
        <f>1</f>
        <v>1</v>
      </c>
      <c r="G137" s="121">
        <f t="shared" si="6"/>
        <v>4</v>
      </c>
      <c r="H137" s="113">
        <f t="shared" si="7"/>
        <v>2</v>
      </c>
      <c r="I137" s="113"/>
      <c r="J137" s="113"/>
      <c r="K137" s="113">
        <f t="shared" si="8"/>
        <v>2</v>
      </c>
      <c r="L137" s="114" t="s">
        <v>604</v>
      </c>
      <c r="Y137"/>
    </row>
    <row r="138" spans="1:25" s="11" customFormat="1" ht="13.5">
      <c r="A138" s="75" t="s">
        <v>130</v>
      </c>
      <c r="B138" s="58" t="s">
        <v>102</v>
      </c>
      <c r="C138" s="58" t="s">
        <v>106</v>
      </c>
      <c r="D138" s="58" t="s">
        <v>104</v>
      </c>
      <c r="E138" s="60">
        <v>13.09</v>
      </c>
      <c r="F138" s="61">
        <f>2</f>
        <v>2</v>
      </c>
      <c r="G138" s="121">
        <f t="shared" si="6"/>
        <v>26.18</v>
      </c>
      <c r="H138" s="113">
        <f t="shared" si="7"/>
        <v>6.545</v>
      </c>
      <c r="I138" s="113"/>
      <c r="J138" s="113"/>
      <c r="K138" s="113">
        <f t="shared" si="8"/>
        <v>13.09</v>
      </c>
      <c r="L138" s="114" t="s">
        <v>604</v>
      </c>
      <c r="Y138"/>
    </row>
    <row r="139" spans="1:25" s="11" customFormat="1" ht="13.5">
      <c r="A139" s="75" t="s">
        <v>131</v>
      </c>
      <c r="B139" s="58" t="s">
        <v>102</v>
      </c>
      <c r="C139" s="58" t="s">
        <v>115</v>
      </c>
      <c r="D139" s="58" t="s">
        <v>104</v>
      </c>
      <c r="E139" s="60">
        <v>13.8</v>
      </c>
      <c r="F139" s="61">
        <f>1</f>
        <v>1</v>
      </c>
      <c r="G139" s="121">
        <f t="shared" si="6"/>
        <v>13.8</v>
      </c>
      <c r="H139" s="113">
        <f t="shared" si="7"/>
        <v>6.9</v>
      </c>
      <c r="I139" s="113"/>
      <c r="J139" s="113"/>
      <c r="K139" s="113">
        <f t="shared" si="8"/>
        <v>6.9</v>
      </c>
      <c r="L139" s="114" t="s">
        <v>604</v>
      </c>
      <c r="Y139"/>
    </row>
    <row r="140" spans="1:25" s="11" customFormat="1" ht="13.5">
      <c r="A140" s="75" t="s">
        <v>132</v>
      </c>
      <c r="B140" s="58" t="s">
        <v>102</v>
      </c>
      <c r="C140" s="58" t="s">
        <v>103</v>
      </c>
      <c r="D140" s="58" t="s">
        <v>104</v>
      </c>
      <c r="E140" s="60">
        <v>11.89</v>
      </c>
      <c r="F140" s="61">
        <f>1+3</f>
        <v>4</v>
      </c>
      <c r="G140" s="121">
        <f t="shared" si="6"/>
        <v>47.56</v>
      </c>
      <c r="H140" s="113">
        <f t="shared" si="7"/>
        <v>5.945</v>
      </c>
      <c r="I140" s="113"/>
      <c r="J140" s="113"/>
      <c r="K140" s="113">
        <f t="shared" si="8"/>
        <v>23.78</v>
      </c>
      <c r="L140" s="114" t="s">
        <v>604</v>
      </c>
      <c r="Y140"/>
    </row>
    <row r="141" spans="1:25" s="11" customFormat="1" ht="13.5">
      <c r="A141" s="75" t="s">
        <v>133</v>
      </c>
      <c r="B141" s="58" t="s">
        <v>102</v>
      </c>
      <c r="C141" s="58" t="s">
        <v>106</v>
      </c>
      <c r="D141" s="58" t="s">
        <v>104</v>
      </c>
      <c r="E141" s="60">
        <v>8.4</v>
      </c>
      <c r="F141" s="61">
        <f>1+30+30+30</f>
        <v>91</v>
      </c>
      <c r="G141" s="121">
        <f t="shared" si="6"/>
        <v>764.4</v>
      </c>
      <c r="H141" s="113">
        <f t="shared" si="7"/>
        <v>4.2</v>
      </c>
      <c r="I141" s="113"/>
      <c r="J141" s="113"/>
      <c r="K141" s="113">
        <f t="shared" si="8"/>
        <v>382.2</v>
      </c>
      <c r="L141" s="114" t="s">
        <v>604</v>
      </c>
      <c r="Y141"/>
    </row>
    <row r="142" spans="1:25" s="11" customFormat="1" ht="13.5">
      <c r="A142" s="75" t="s">
        <v>134</v>
      </c>
      <c r="B142" s="58" t="s">
        <v>102</v>
      </c>
      <c r="C142" s="58" t="s">
        <v>108</v>
      </c>
      <c r="D142" s="58" t="s">
        <v>104</v>
      </c>
      <c r="E142" s="60">
        <v>47.5</v>
      </c>
      <c r="F142" s="61">
        <v>1</v>
      </c>
      <c r="G142" s="121">
        <f t="shared" si="6"/>
        <v>47.5</v>
      </c>
      <c r="H142" s="113">
        <f t="shared" si="7"/>
        <v>23.75</v>
      </c>
      <c r="I142" s="113"/>
      <c r="J142" s="113"/>
      <c r="K142" s="113">
        <f t="shared" si="8"/>
        <v>23.75</v>
      </c>
      <c r="L142" s="114" t="s">
        <v>604</v>
      </c>
      <c r="Y142"/>
    </row>
    <row r="143" spans="1:25" s="11" customFormat="1" ht="13.5">
      <c r="A143" s="75" t="s">
        <v>136</v>
      </c>
      <c r="B143" s="58" t="s">
        <v>102</v>
      </c>
      <c r="C143" s="58" t="s">
        <v>135</v>
      </c>
      <c r="D143" s="58" t="s">
        <v>104</v>
      </c>
      <c r="E143" s="60">
        <v>126.75</v>
      </c>
      <c r="F143" s="61">
        <f>1</f>
        <v>1</v>
      </c>
      <c r="G143" s="121">
        <f t="shared" si="6"/>
        <v>126.75</v>
      </c>
      <c r="H143" s="113">
        <f t="shared" si="7"/>
        <v>63.375</v>
      </c>
      <c r="I143" s="113"/>
      <c r="J143" s="113"/>
      <c r="K143" s="113">
        <f t="shared" si="8"/>
        <v>63.375</v>
      </c>
      <c r="L143" s="114" t="s">
        <v>604</v>
      </c>
      <c r="Y143"/>
    </row>
    <row r="144" spans="1:25" s="11" customFormat="1" ht="13.5">
      <c r="A144" s="75" t="s">
        <v>137</v>
      </c>
      <c r="B144" s="58" t="s">
        <v>102</v>
      </c>
      <c r="C144" s="58" t="s">
        <v>135</v>
      </c>
      <c r="D144" s="58" t="s">
        <v>104</v>
      </c>
      <c r="E144" s="60">
        <v>182</v>
      </c>
      <c r="F144" s="61">
        <f>1+1</f>
        <v>2</v>
      </c>
      <c r="G144" s="121">
        <f t="shared" si="6"/>
        <v>364</v>
      </c>
      <c r="H144" s="113">
        <f t="shared" si="7"/>
        <v>91</v>
      </c>
      <c r="I144" s="113"/>
      <c r="J144" s="113"/>
      <c r="K144" s="113">
        <f t="shared" si="8"/>
        <v>182</v>
      </c>
      <c r="L144" s="114" t="s">
        <v>604</v>
      </c>
      <c r="Y144"/>
    </row>
    <row r="145" spans="1:25" s="11" customFormat="1" ht="13.5">
      <c r="A145" s="75" t="s">
        <v>138</v>
      </c>
      <c r="B145" s="58" t="s">
        <v>102</v>
      </c>
      <c r="C145" s="58" t="s">
        <v>135</v>
      </c>
      <c r="D145" s="58" t="s">
        <v>104</v>
      </c>
      <c r="E145" s="60">
        <v>162.5</v>
      </c>
      <c r="F145" s="61">
        <f>1</f>
        <v>1</v>
      </c>
      <c r="G145" s="121">
        <f t="shared" si="6"/>
        <v>162.5</v>
      </c>
      <c r="H145" s="113">
        <f t="shared" si="7"/>
        <v>81.25</v>
      </c>
      <c r="I145" s="113"/>
      <c r="J145" s="113"/>
      <c r="K145" s="113">
        <f t="shared" si="8"/>
        <v>81.25</v>
      </c>
      <c r="L145" s="114" t="s">
        <v>604</v>
      </c>
      <c r="Y145"/>
    </row>
    <row r="146" spans="1:25" s="11" customFormat="1" ht="13.5">
      <c r="A146" s="75" t="s">
        <v>139</v>
      </c>
      <c r="B146" s="58" t="s">
        <v>102</v>
      </c>
      <c r="C146" s="58" t="s">
        <v>135</v>
      </c>
      <c r="D146" s="58" t="s">
        <v>104</v>
      </c>
      <c r="E146" s="62">
        <v>162</v>
      </c>
      <c r="F146" s="61">
        <f>1+1</f>
        <v>2</v>
      </c>
      <c r="G146" s="121">
        <f aca="true" t="shared" si="9" ref="G146:G166">F146*E146</f>
        <v>324</v>
      </c>
      <c r="H146" s="113">
        <f aca="true" t="shared" si="10" ref="H146:H166">E146*0.5</f>
        <v>81</v>
      </c>
      <c r="I146" s="113"/>
      <c r="J146" s="113"/>
      <c r="K146" s="113">
        <f aca="true" t="shared" si="11" ref="K146:K166">H146*F146</f>
        <v>162</v>
      </c>
      <c r="L146" s="114" t="s">
        <v>604</v>
      </c>
      <c r="Y146"/>
    </row>
    <row r="147" spans="1:25" s="11" customFormat="1" ht="13.5">
      <c r="A147" s="77" t="s">
        <v>141</v>
      </c>
      <c r="B147" s="58" t="s">
        <v>102</v>
      </c>
      <c r="C147" s="58" t="s">
        <v>140</v>
      </c>
      <c r="D147" s="58" t="s">
        <v>104</v>
      </c>
      <c r="E147" s="63">
        <v>8.8</v>
      </c>
      <c r="F147" s="61">
        <v>1</v>
      </c>
      <c r="G147" s="121">
        <f t="shared" si="9"/>
        <v>8.8</v>
      </c>
      <c r="H147" s="113">
        <f t="shared" si="10"/>
        <v>4.4</v>
      </c>
      <c r="I147" s="113"/>
      <c r="J147" s="113"/>
      <c r="K147" s="113">
        <f t="shared" si="11"/>
        <v>4.4</v>
      </c>
      <c r="L147" s="114" t="s">
        <v>604</v>
      </c>
      <c r="Y147"/>
    </row>
    <row r="148" spans="1:25" s="11" customFormat="1" ht="13.5">
      <c r="A148" s="77" t="s">
        <v>142</v>
      </c>
      <c r="B148" s="58" t="s">
        <v>102</v>
      </c>
      <c r="C148" s="58" t="s">
        <v>140</v>
      </c>
      <c r="D148" s="58" t="s">
        <v>104</v>
      </c>
      <c r="E148" s="63">
        <v>11.6</v>
      </c>
      <c r="F148" s="61">
        <v>2</v>
      </c>
      <c r="G148" s="121">
        <f t="shared" si="9"/>
        <v>23.2</v>
      </c>
      <c r="H148" s="113">
        <f t="shared" si="10"/>
        <v>5.8</v>
      </c>
      <c r="I148" s="113"/>
      <c r="J148" s="113"/>
      <c r="K148" s="113">
        <f t="shared" si="11"/>
        <v>11.6</v>
      </c>
      <c r="L148" s="114" t="s">
        <v>604</v>
      </c>
      <c r="Y148"/>
    </row>
    <row r="149" spans="1:25" s="11" customFormat="1" ht="13.5">
      <c r="A149" s="77" t="s">
        <v>143</v>
      </c>
      <c r="B149" s="58" t="s">
        <v>102</v>
      </c>
      <c r="C149" s="58" t="s">
        <v>140</v>
      </c>
      <c r="D149" s="58" t="s">
        <v>104</v>
      </c>
      <c r="E149" s="63">
        <v>8.8</v>
      </c>
      <c r="F149" s="61">
        <v>2</v>
      </c>
      <c r="G149" s="121">
        <f t="shared" si="9"/>
        <v>17.6</v>
      </c>
      <c r="H149" s="113">
        <f t="shared" si="10"/>
        <v>4.4</v>
      </c>
      <c r="I149" s="113"/>
      <c r="J149" s="113"/>
      <c r="K149" s="113">
        <f t="shared" si="11"/>
        <v>8.8</v>
      </c>
      <c r="L149" s="114" t="s">
        <v>604</v>
      </c>
      <c r="Y149"/>
    </row>
    <row r="150" spans="1:25" s="11" customFormat="1" ht="13.5">
      <c r="A150" s="77" t="s">
        <v>144</v>
      </c>
      <c r="B150" s="58" t="s">
        <v>102</v>
      </c>
      <c r="C150" s="58" t="s">
        <v>140</v>
      </c>
      <c r="D150" s="58" t="s">
        <v>104</v>
      </c>
      <c r="E150" s="63">
        <v>7.9</v>
      </c>
      <c r="F150" s="61">
        <v>1</v>
      </c>
      <c r="G150" s="121">
        <f t="shared" si="9"/>
        <v>7.9</v>
      </c>
      <c r="H150" s="113">
        <f t="shared" si="10"/>
        <v>3.95</v>
      </c>
      <c r="I150" s="113"/>
      <c r="J150" s="113"/>
      <c r="K150" s="113">
        <f t="shared" si="11"/>
        <v>3.95</v>
      </c>
      <c r="L150" s="114" t="s">
        <v>604</v>
      </c>
      <c r="Y150"/>
    </row>
    <row r="151" spans="1:25" s="11" customFormat="1" ht="13.5">
      <c r="A151" s="77" t="s">
        <v>145</v>
      </c>
      <c r="B151" s="58" t="s">
        <v>102</v>
      </c>
      <c r="C151" s="58" t="s">
        <v>140</v>
      </c>
      <c r="D151" s="58" t="s">
        <v>104</v>
      </c>
      <c r="E151" s="63">
        <v>12.3</v>
      </c>
      <c r="F151" s="61">
        <v>1</v>
      </c>
      <c r="G151" s="121">
        <f t="shared" si="9"/>
        <v>12.3</v>
      </c>
      <c r="H151" s="113">
        <f t="shared" si="10"/>
        <v>6.15</v>
      </c>
      <c r="I151" s="113"/>
      <c r="J151" s="113"/>
      <c r="K151" s="113">
        <f t="shared" si="11"/>
        <v>6.15</v>
      </c>
      <c r="L151" s="114" t="s">
        <v>604</v>
      </c>
      <c r="Y151"/>
    </row>
    <row r="152" spans="1:25" s="11" customFormat="1" ht="13.5">
      <c r="A152" s="77" t="s">
        <v>146</v>
      </c>
      <c r="B152" s="58" t="s">
        <v>102</v>
      </c>
      <c r="C152" s="58" t="s">
        <v>140</v>
      </c>
      <c r="D152" s="58" t="s">
        <v>104</v>
      </c>
      <c r="E152" s="63">
        <v>12.3</v>
      </c>
      <c r="F152" s="61">
        <v>1</v>
      </c>
      <c r="G152" s="121">
        <f t="shared" si="9"/>
        <v>12.3</v>
      </c>
      <c r="H152" s="113">
        <f t="shared" si="10"/>
        <v>6.15</v>
      </c>
      <c r="I152" s="113"/>
      <c r="J152" s="113"/>
      <c r="K152" s="113">
        <f t="shared" si="11"/>
        <v>6.15</v>
      </c>
      <c r="L152" s="114" t="s">
        <v>604</v>
      </c>
      <c r="Y152"/>
    </row>
    <row r="153" spans="1:25" s="11" customFormat="1" ht="13.5">
      <c r="A153" s="77" t="s">
        <v>147</v>
      </c>
      <c r="B153" s="58" t="s">
        <v>102</v>
      </c>
      <c r="C153" s="58" t="s">
        <v>140</v>
      </c>
      <c r="D153" s="58" t="s">
        <v>104</v>
      </c>
      <c r="E153" s="63">
        <v>13.05</v>
      </c>
      <c r="F153" s="61">
        <v>2</v>
      </c>
      <c r="G153" s="121">
        <f t="shared" si="9"/>
        <v>26.1</v>
      </c>
      <c r="H153" s="113">
        <f t="shared" si="10"/>
        <v>6.525</v>
      </c>
      <c r="I153" s="113"/>
      <c r="J153" s="113"/>
      <c r="K153" s="113">
        <f t="shared" si="11"/>
        <v>13.05</v>
      </c>
      <c r="L153" s="114" t="s">
        <v>604</v>
      </c>
      <c r="Y153"/>
    </row>
    <row r="154" spans="1:25" s="11" customFormat="1" ht="13.5">
      <c r="A154" s="77" t="s">
        <v>148</v>
      </c>
      <c r="B154" s="58" t="s">
        <v>102</v>
      </c>
      <c r="C154" s="58" t="s">
        <v>140</v>
      </c>
      <c r="D154" s="58" t="s">
        <v>104</v>
      </c>
      <c r="E154" s="63">
        <v>8.45</v>
      </c>
      <c r="F154" s="61">
        <v>2</v>
      </c>
      <c r="G154" s="121">
        <f t="shared" si="9"/>
        <v>16.9</v>
      </c>
      <c r="H154" s="113">
        <f t="shared" si="10"/>
        <v>4.225</v>
      </c>
      <c r="I154" s="113"/>
      <c r="J154" s="113"/>
      <c r="K154" s="113">
        <f t="shared" si="11"/>
        <v>8.45</v>
      </c>
      <c r="L154" s="114" t="s">
        <v>604</v>
      </c>
      <c r="Y154"/>
    </row>
    <row r="155" spans="1:25" s="11" customFormat="1" ht="13.5">
      <c r="A155" s="77" t="s">
        <v>149</v>
      </c>
      <c r="B155" s="58" t="s">
        <v>102</v>
      </c>
      <c r="C155" s="58" t="s">
        <v>140</v>
      </c>
      <c r="D155" s="58" t="s">
        <v>104</v>
      </c>
      <c r="E155" s="63">
        <v>8.45</v>
      </c>
      <c r="F155" s="61">
        <v>1</v>
      </c>
      <c r="G155" s="121">
        <f t="shared" si="9"/>
        <v>8.45</v>
      </c>
      <c r="H155" s="113">
        <f t="shared" si="10"/>
        <v>4.225</v>
      </c>
      <c r="I155" s="113"/>
      <c r="J155" s="113"/>
      <c r="K155" s="113">
        <f t="shared" si="11"/>
        <v>4.225</v>
      </c>
      <c r="L155" s="114" t="s">
        <v>604</v>
      </c>
      <c r="Y155"/>
    </row>
    <row r="156" spans="1:25" s="11" customFormat="1" ht="13.5">
      <c r="A156" s="75" t="s">
        <v>150</v>
      </c>
      <c r="B156" s="58" t="s">
        <v>102</v>
      </c>
      <c r="C156" s="58" t="s">
        <v>140</v>
      </c>
      <c r="D156" s="58" t="s">
        <v>104</v>
      </c>
      <c r="E156" s="62">
        <v>7.5</v>
      </c>
      <c r="F156" s="61">
        <v>1</v>
      </c>
      <c r="G156" s="121">
        <f t="shared" si="9"/>
        <v>7.5</v>
      </c>
      <c r="H156" s="113">
        <f t="shared" si="10"/>
        <v>3.75</v>
      </c>
      <c r="I156" s="113"/>
      <c r="J156" s="113"/>
      <c r="K156" s="113">
        <f t="shared" si="11"/>
        <v>3.75</v>
      </c>
      <c r="L156" s="114" t="s">
        <v>604</v>
      </c>
      <c r="Y156"/>
    </row>
    <row r="157" spans="1:25" s="11" customFormat="1" ht="13.5">
      <c r="A157" s="75" t="s">
        <v>151</v>
      </c>
      <c r="B157" s="58" t="s">
        <v>102</v>
      </c>
      <c r="C157" s="58" t="s">
        <v>140</v>
      </c>
      <c r="D157" s="58" t="s">
        <v>104</v>
      </c>
      <c r="E157" s="62">
        <v>7</v>
      </c>
      <c r="F157" s="61">
        <v>3</v>
      </c>
      <c r="G157" s="121">
        <f t="shared" si="9"/>
        <v>21</v>
      </c>
      <c r="H157" s="113">
        <f t="shared" si="10"/>
        <v>3.5</v>
      </c>
      <c r="I157" s="113"/>
      <c r="J157" s="113"/>
      <c r="K157" s="113">
        <f t="shared" si="11"/>
        <v>10.5</v>
      </c>
      <c r="L157" s="114" t="s">
        <v>604</v>
      </c>
      <c r="Y157"/>
    </row>
    <row r="158" spans="1:25" s="11" customFormat="1" ht="13.5">
      <c r="A158" s="77" t="s">
        <v>152</v>
      </c>
      <c r="B158" s="58" t="s">
        <v>102</v>
      </c>
      <c r="C158" s="58" t="s">
        <v>140</v>
      </c>
      <c r="D158" s="58" t="s">
        <v>104</v>
      </c>
      <c r="E158" s="63">
        <v>13.8</v>
      </c>
      <c r="F158" s="61">
        <v>3</v>
      </c>
      <c r="G158" s="121">
        <f t="shared" si="9"/>
        <v>41.400000000000006</v>
      </c>
      <c r="H158" s="113">
        <f t="shared" si="10"/>
        <v>6.9</v>
      </c>
      <c r="I158" s="113"/>
      <c r="J158" s="113"/>
      <c r="K158" s="113">
        <f t="shared" si="11"/>
        <v>20.700000000000003</v>
      </c>
      <c r="L158" s="114" t="s">
        <v>604</v>
      </c>
      <c r="Y158"/>
    </row>
    <row r="159" spans="1:25" s="11" customFormat="1" ht="13.5">
      <c r="A159" s="77" t="s">
        <v>153</v>
      </c>
      <c r="B159" s="58" t="s">
        <v>102</v>
      </c>
      <c r="C159" s="58" t="s">
        <v>140</v>
      </c>
      <c r="D159" s="58" t="s">
        <v>104</v>
      </c>
      <c r="E159" s="63">
        <v>12.52</v>
      </c>
      <c r="F159" s="61">
        <v>1</v>
      </c>
      <c r="G159" s="121">
        <f t="shared" si="9"/>
        <v>12.52</v>
      </c>
      <c r="H159" s="113">
        <f t="shared" si="10"/>
        <v>6.26</v>
      </c>
      <c r="I159" s="113"/>
      <c r="J159" s="113"/>
      <c r="K159" s="113">
        <f t="shared" si="11"/>
        <v>6.26</v>
      </c>
      <c r="L159" s="114" t="s">
        <v>604</v>
      </c>
      <c r="Y159"/>
    </row>
    <row r="160" spans="1:25" s="11" customFormat="1" ht="13.5">
      <c r="A160" s="75" t="s">
        <v>154</v>
      </c>
      <c r="B160" s="58" t="s">
        <v>102</v>
      </c>
      <c r="C160" s="58" t="s">
        <v>140</v>
      </c>
      <c r="D160" s="58" t="s">
        <v>104</v>
      </c>
      <c r="E160" s="62">
        <v>11.2</v>
      </c>
      <c r="F160" s="61">
        <v>2</v>
      </c>
      <c r="G160" s="121">
        <f t="shared" si="9"/>
        <v>22.4</v>
      </c>
      <c r="H160" s="113">
        <f t="shared" si="10"/>
        <v>5.6</v>
      </c>
      <c r="I160" s="113"/>
      <c r="J160" s="113"/>
      <c r="K160" s="113">
        <f t="shared" si="11"/>
        <v>11.2</v>
      </c>
      <c r="L160" s="114" t="s">
        <v>604</v>
      </c>
      <c r="Y160"/>
    </row>
    <row r="161" spans="1:25" s="11" customFormat="1" ht="13.5">
      <c r="A161" s="77" t="s">
        <v>155</v>
      </c>
      <c r="B161" s="58" t="s">
        <v>102</v>
      </c>
      <c r="C161" s="58" t="s">
        <v>140</v>
      </c>
      <c r="D161" s="58" t="s">
        <v>104</v>
      </c>
      <c r="E161" s="63">
        <v>13.05</v>
      </c>
      <c r="F161" s="61">
        <v>1</v>
      </c>
      <c r="G161" s="121">
        <f t="shared" si="9"/>
        <v>13.05</v>
      </c>
      <c r="H161" s="113">
        <f t="shared" si="10"/>
        <v>6.525</v>
      </c>
      <c r="I161" s="113"/>
      <c r="J161" s="113"/>
      <c r="K161" s="113">
        <f t="shared" si="11"/>
        <v>6.525</v>
      </c>
      <c r="L161" s="114" t="s">
        <v>604</v>
      </c>
      <c r="Y161"/>
    </row>
    <row r="162" spans="1:25" s="11" customFormat="1" ht="13.5">
      <c r="A162" s="77" t="s">
        <v>156</v>
      </c>
      <c r="B162" s="58" t="s">
        <v>102</v>
      </c>
      <c r="C162" s="58" t="s">
        <v>140</v>
      </c>
      <c r="D162" s="58" t="s">
        <v>104</v>
      </c>
      <c r="E162" s="63">
        <v>13.05</v>
      </c>
      <c r="F162" s="61">
        <v>2</v>
      </c>
      <c r="G162" s="121">
        <f t="shared" si="9"/>
        <v>26.1</v>
      </c>
      <c r="H162" s="113">
        <f t="shared" si="10"/>
        <v>6.525</v>
      </c>
      <c r="I162" s="113"/>
      <c r="J162" s="113"/>
      <c r="K162" s="113">
        <f t="shared" si="11"/>
        <v>13.05</v>
      </c>
      <c r="L162" s="114" t="s">
        <v>604</v>
      </c>
      <c r="Y162"/>
    </row>
    <row r="163" spans="1:25" s="11" customFormat="1" ht="13.5">
      <c r="A163" s="77" t="s">
        <v>157</v>
      </c>
      <c r="B163" s="58" t="s">
        <v>102</v>
      </c>
      <c r="C163" s="58" t="s">
        <v>106</v>
      </c>
      <c r="D163" s="58" t="s">
        <v>104</v>
      </c>
      <c r="E163" s="63">
        <v>37.7</v>
      </c>
      <c r="F163" s="61">
        <v>1</v>
      </c>
      <c r="G163" s="121">
        <f t="shared" si="9"/>
        <v>37.7</v>
      </c>
      <c r="H163" s="113">
        <f t="shared" si="10"/>
        <v>18.85</v>
      </c>
      <c r="I163" s="113"/>
      <c r="J163" s="113"/>
      <c r="K163" s="113">
        <f t="shared" si="11"/>
        <v>18.85</v>
      </c>
      <c r="L163" s="114" t="s">
        <v>604</v>
      </c>
      <c r="Y163"/>
    </row>
    <row r="164" spans="1:25" s="11" customFormat="1" ht="13.5">
      <c r="A164" s="75" t="s">
        <v>158</v>
      </c>
      <c r="B164" s="58" t="s">
        <v>102</v>
      </c>
      <c r="C164" s="58" t="s">
        <v>135</v>
      </c>
      <c r="D164" s="58" t="s">
        <v>104</v>
      </c>
      <c r="E164" s="62">
        <v>90</v>
      </c>
      <c r="F164" s="61">
        <f>1</f>
        <v>1</v>
      </c>
      <c r="G164" s="121">
        <f t="shared" si="9"/>
        <v>90</v>
      </c>
      <c r="H164" s="113">
        <f t="shared" si="10"/>
        <v>45</v>
      </c>
      <c r="I164" s="113"/>
      <c r="J164" s="113"/>
      <c r="K164" s="113">
        <f t="shared" si="11"/>
        <v>45</v>
      </c>
      <c r="L164" s="114" t="s">
        <v>604</v>
      </c>
      <c r="Y164"/>
    </row>
    <row r="165" spans="1:25" s="11" customFormat="1" ht="13.5">
      <c r="A165" s="75" t="s">
        <v>159</v>
      </c>
      <c r="B165" s="58" t="s">
        <v>102</v>
      </c>
      <c r="C165" s="58" t="s">
        <v>135</v>
      </c>
      <c r="D165" s="58" t="s">
        <v>104</v>
      </c>
      <c r="E165" s="62">
        <v>182</v>
      </c>
      <c r="F165" s="61">
        <f>1</f>
        <v>1</v>
      </c>
      <c r="G165" s="121">
        <f t="shared" si="9"/>
        <v>182</v>
      </c>
      <c r="H165" s="113">
        <f t="shared" si="10"/>
        <v>91</v>
      </c>
      <c r="I165" s="113"/>
      <c r="J165" s="113"/>
      <c r="K165" s="113">
        <f t="shared" si="11"/>
        <v>91</v>
      </c>
      <c r="L165" s="114" t="s">
        <v>604</v>
      </c>
      <c r="Y165"/>
    </row>
    <row r="166" spans="1:25" s="11" customFormat="1" ht="13.5">
      <c r="A166" s="77" t="s">
        <v>160</v>
      </c>
      <c r="B166" s="58" t="s">
        <v>102</v>
      </c>
      <c r="C166" s="58" t="s">
        <v>108</v>
      </c>
      <c r="D166" s="58" t="s">
        <v>104</v>
      </c>
      <c r="E166" s="63">
        <v>42</v>
      </c>
      <c r="F166" s="61">
        <v>1</v>
      </c>
      <c r="G166" s="121">
        <f t="shared" si="9"/>
        <v>42</v>
      </c>
      <c r="H166" s="113">
        <f t="shared" si="10"/>
        <v>21</v>
      </c>
      <c r="I166" s="113"/>
      <c r="J166" s="113"/>
      <c r="K166" s="113">
        <f t="shared" si="11"/>
        <v>21</v>
      </c>
      <c r="L166" s="114" t="s">
        <v>604</v>
      </c>
      <c r="Y166"/>
    </row>
    <row r="167" spans="1:25" s="11" customFormat="1" ht="13.5">
      <c r="A167" s="75" t="s">
        <v>161</v>
      </c>
      <c r="B167" s="58" t="s">
        <v>102</v>
      </c>
      <c r="C167" s="58" t="s">
        <v>103</v>
      </c>
      <c r="D167" s="58" t="s">
        <v>104</v>
      </c>
      <c r="E167" s="60">
        <v>15</v>
      </c>
      <c r="F167" s="61">
        <v>2</v>
      </c>
      <c r="G167" s="121">
        <f aca="true" t="shared" si="12" ref="G167:G198">F167*E167</f>
        <v>30</v>
      </c>
      <c r="H167" s="113">
        <f aca="true" t="shared" si="13" ref="H167:H198">E167*0.5</f>
        <v>7.5</v>
      </c>
      <c r="I167" s="113"/>
      <c r="J167" s="113"/>
      <c r="K167" s="113">
        <f aca="true" t="shared" si="14" ref="K167:K198">H167*F167</f>
        <v>15</v>
      </c>
      <c r="L167" s="114"/>
      <c r="Y167"/>
    </row>
    <row r="168" spans="1:25" s="11" customFormat="1" ht="25.5">
      <c r="A168" s="75" t="s">
        <v>164</v>
      </c>
      <c r="B168" s="58" t="s">
        <v>162</v>
      </c>
      <c r="C168" s="58" t="s">
        <v>104</v>
      </c>
      <c r="D168" s="58" t="s">
        <v>163</v>
      </c>
      <c r="E168" s="62">
        <v>25</v>
      </c>
      <c r="F168" s="61">
        <v>1</v>
      </c>
      <c r="G168" s="121">
        <f t="shared" si="12"/>
        <v>25</v>
      </c>
      <c r="H168" s="113">
        <f t="shared" si="13"/>
        <v>12.5</v>
      </c>
      <c r="I168" s="113"/>
      <c r="J168" s="113"/>
      <c r="K168" s="113">
        <f t="shared" si="14"/>
        <v>12.5</v>
      </c>
      <c r="L168" s="114" t="s">
        <v>604</v>
      </c>
      <c r="Y168"/>
    </row>
    <row r="169" spans="1:25" s="11" customFormat="1" ht="13.5">
      <c r="A169" s="75" t="s">
        <v>166</v>
      </c>
      <c r="B169" s="58" t="s">
        <v>162</v>
      </c>
      <c r="C169" s="58" t="s">
        <v>104</v>
      </c>
      <c r="D169" s="58" t="s">
        <v>165</v>
      </c>
      <c r="E169" s="62">
        <v>50</v>
      </c>
      <c r="F169" s="61">
        <v>1</v>
      </c>
      <c r="G169" s="121">
        <f t="shared" si="12"/>
        <v>50</v>
      </c>
      <c r="H169" s="113">
        <f t="shared" si="13"/>
        <v>25</v>
      </c>
      <c r="I169" s="113"/>
      <c r="J169" s="113"/>
      <c r="K169" s="113">
        <f t="shared" si="14"/>
        <v>25</v>
      </c>
      <c r="L169" s="114" t="s">
        <v>604</v>
      </c>
      <c r="Y169"/>
    </row>
    <row r="170" spans="1:25" s="11" customFormat="1" ht="13.5">
      <c r="A170" s="75" t="s">
        <v>167</v>
      </c>
      <c r="B170" s="58" t="s">
        <v>162</v>
      </c>
      <c r="C170" s="58" t="s">
        <v>104</v>
      </c>
      <c r="D170" s="58" t="s">
        <v>163</v>
      </c>
      <c r="E170" s="62">
        <v>35</v>
      </c>
      <c r="F170" s="61">
        <v>13</v>
      </c>
      <c r="G170" s="121">
        <f t="shared" si="12"/>
        <v>455</v>
      </c>
      <c r="H170" s="113">
        <f t="shared" si="13"/>
        <v>17.5</v>
      </c>
      <c r="I170" s="113"/>
      <c r="J170" s="113"/>
      <c r="K170" s="113">
        <f t="shared" si="14"/>
        <v>227.5</v>
      </c>
      <c r="L170" s="114" t="s">
        <v>604</v>
      </c>
      <c r="Y170"/>
    </row>
    <row r="171" spans="1:25" s="11" customFormat="1" ht="13.5">
      <c r="A171" s="77" t="s">
        <v>169</v>
      </c>
      <c r="B171" s="58" t="s">
        <v>162</v>
      </c>
      <c r="C171" s="58" t="s">
        <v>104</v>
      </c>
      <c r="D171" s="58" t="s">
        <v>168</v>
      </c>
      <c r="E171" s="63">
        <v>18.5</v>
      </c>
      <c r="F171" s="61">
        <v>1</v>
      </c>
      <c r="G171" s="121">
        <f t="shared" si="12"/>
        <v>18.5</v>
      </c>
      <c r="H171" s="113">
        <f t="shared" si="13"/>
        <v>9.25</v>
      </c>
      <c r="I171" s="113"/>
      <c r="J171" s="113"/>
      <c r="K171" s="113">
        <f t="shared" si="14"/>
        <v>9.25</v>
      </c>
      <c r="L171" s="114" t="s">
        <v>604</v>
      </c>
      <c r="Y171"/>
    </row>
    <row r="172" spans="1:25" s="11" customFormat="1" ht="13.5">
      <c r="A172" s="75" t="s">
        <v>171</v>
      </c>
      <c r="B172" s="58" t="s">
        <v>162</v>
      </c>
      <c r="C172" s="58" t="s">
        <v>104</v>
      </c>
      <c r="D172" s="58" t="s">
        <v>170</v>
      </c>
      <c r="E172" s="62">
        <v>120</v>
      </c>
      <c r="F172" s="61">
        <v>1</v>
      </c>
      <c r="G172" s="121">
        <f t="shared" si="12"/>
        <v>120</v>
      </c>
      <c r="H172" s="113">
        <f t="shared" si="13"/>
        <v>60</v>
      </c>
      <c r="I172" s="113"/>
      <c r="J172" s="113"/>
      <c r="K172" s="113">
        <f t="shared" si="14"/>
        <v>60</v>
      </c>
      <c r="L172" s="114" t="s">
        <v>604</v>
      </c>
      <c r="Y172"/>
    </row>
    <row r="173" spans="1:25" s="11" customFormat="1" ht="13.5">
      <c r="A173" s="75" t="s">
        <v>172</v>
      </c>
      <c r="B173" s="58" t="s">
        <v>102</v>
      </c>
      <c r="C173" s="58" t="s">
        <v>108</v>
      </c>
      <c r="D173" s="58" t="s">
        <v>104</v>
      </c>
      <c r="E173" s="62">
        <v>54</v>
      </c>
      <c r="F173" s="61">
        <v>1</v>
      </c>
      <c r="G173" s="121">
        <f t="shared" si="12"/>
        <v>54</v>
      </c>
      <c r="H173" s="113">
        <f t="shared" si="13"/>
        <v>27</v>
      </c>
      <c r="I173" s="113"/>
      <c r="J173" s="113"/>
      <c r="K173" s="113">
        <f t="shared" si="14"/>
        <v>27</v>
      </c>
      <c r="L173" s="114" t="s">
        <v>604</v>
      </c>
      <c r="Y173"/>
    </row>
    <row r="174" spans="1:25" s="11" customFormat="1" ht="13.5">
      <c r="A174" s="75" t="s">
        <v>173</v>
      </c>
      <c r="B174" s="58" t="s">
        <v>102</v>
      </c>
      <c r="C174" s="58" t="s">
        <v>108</v>
      </c>
      <c r="D174" s="58" t="s">
        <v>104</v>
      </c>
      <c r="E174" s="62">
        <v>57</v>
      </c>
      <c r="F174" s="61">
        <f>1+1+1+1</f>
        <v>4</v>
      </c>
      <c r="G174" s="121">
        <f t="shared" si="12"/>
        <v>228</v>
      </c>
      <c r="H174" s="113">
        <f t="shared" si="13"/>
        <v>28.5</v>
      </c>
      <c r="I174" s="113"/>
      <c r="J174" s="113"/>
      <c r="K174" s="113">
        <f t="shared" si="14"/>
        <v>114</v>
      </c>
      <c r="L174" s="114" t="s">
        <v>604</v>
      </c>
      <c r="Y174"/>
    </row>
    <row r="175" spans="1:25" s="11" customFormat="1" ht="13.5">
      <c r="A175" s="75" t="s">
        <v>174</v>
      </c>
      <c r="B175" s="58" t="s">
        <v>102</v>
      </c>
      <c r="C175" s="58" t="s">
        <v>103</v>
      </c>
      <c r="D175" s="58" t="s">
        <v>104</v>
      </c>
      <c r="E175" s="62">
        <v>37</v>
      </c>
      <c r="F175" s="61">
        <f>1</f>
        <v>1</v>
      </c>
      <c r="G175" s="121">
        <f t="shared" si="12"/>
        <v>37</v>
      </c>
      <c r="H175" s="113">
        <f t="shared" si="13"/>
        <v>18.5</v>
      </c>
      <c r="I175" s="113"/>
      <c r="J175" s="113"/>
      <c r="K175" s="113">
        <f t="shared" si="14"/>
        <v>18.5</v>
      </c>
      <c r="L175" s="114" t="s">
        <v>604</v>
      </c>
      <c r="Y175"/>
    </row>
    <row r="176" spans="1:25" s="11" customFormat="1" ht="13.5">
      <c r="A176" s="75" t="s">
        <v>161</v>
      </c>
      <c r="B176" s="58" t="s">
        <v>102</v>
      </c>
      <c r="C176" s="58" t="s">
        <v>103</v>
      </c>
      <c r="D176" s="58" t="s">
        <v>104</v>
      </c>
      <c r="E176" s="60">
        <v>15</v>
      </c>
      <c r="F176" s="61">
        <f>3</f>
        <v>3</v>
      </c>
      <c r="G176" s="121">
        <f t="shared" si="12"/>
        <v>45</v>
      </c>
      <c r="H176" s="113">
        <f t="shared" si="13"/>
        <v>7.5</v>
      </c>
      <c r="I176" s="113"/>
      <c r="J176" s="113"/>
      <c r="K176" s="113">
        <f t="shared" si="14"/>
        <v>22.5</v>
      </c>
      <c r="L176" s="114" t="s">
        <v>604</v>
      </c>
      <c r="Y176"/>
    </row>
    <row r="177" spans="1:25" s="11" customFormat="1" ht="13.5">
      <c r="A177" s="77" t="s">
        <v>175</v>
      </c>
      <c r="B177" s="58" t="s">
        <v>102</v>
      </c>
      <c r="C177" s="58" t="s">
        <v>140</v>
      </c>
      <c r="D177" s="58" t="s">
        <v>104</v>
      </c>
      <c r="E177" s="63">
        <v>7</v>
      </c>
      <c r="F177" s="61">
        <v>2</v>
      </c>
      <c r="G177" s="121">
        <f t="shared" si="12"/>
        <v>14</v>
      </c>
      <c r="H177" s="113">
        <f t="shared" si="13"/>
        <v>3.5</v>
      </c>
      <c r="I177" s="113"/>
      <c r="J177" s="113"/>
      <c r="K177" s="113">
        <f t="shared" si="14"/>
        <v>7</v>
      </c>
      <c r="L177" s="114" t="s">
        <v>604</v>
      </c>
      <c r="Y177"/>
    </row>
    <row r="178" spans="1:25" s="11" customFormat="1" ht="13.5">
      <c r="A178" s="75" t="s">
        <v>176</v>
      </c>
      <c r="B178" s="58" t="s">
        <v>102</v>
      </c>
      <c r="C178" s="58" t="s">
        <v>140</v>
      </c>
      <c r="D178" s="58" t="s">
        <v>104</v>
      </c>
      <c r="E178" s="62">
        <v>8.45</v>
      </c>
      <c r="F178" s="61">
        <v>2</v>
      </c>
      <c r="G178" s="121">
        <f t="shared" si="12"/>
        <v>16.9</v>
      </c>
      <c r="H178" s="113">
        <f t="shared" si="13"/>
        <v>4.225</v>
      </c>
      <c r="I178" s="113"/>
      <c r="J178" s="113"/>
      <c r="K178" s="113">
        <f t="shared" si="14"/>
        <v>8.45</v>
      </c>
      <c r="L178" s="114" t="s">
        <v>604</v>
      </c>
      <c r="Y178"/>
    </row>
    <row r="179" spans="1:25" s="11" customFormat="1" ht="13.5">
      <c r="A179" s="77" t="s">
        <v>177</v>
      </c>
      <c r="B179" s="58" t="s">
        <v>102</v>
      </c>
      <c r="C179" s="58" t="s">
        <v>140</v>
      </c>
      <c r="D179" s="58" t="s">
        <v>104</v>
      </c>
      <c r="E179" s="63">
        <v>9</v>
      </c>
      <c r="F179" s="61">
        <v>1</v>
      </c>
      <c r="G179" s="121">
        <f t="shared" si="12"/>
        <v>9</v>
      </c>
      <c r="H179" s="113">
        <f t="shared" si="13"/>
        <v>4.5</v>
      </c>
      <c r="I179" s="113"/>
      <c r="J179" s="113"/>
      <c r="K179" s="113">
        <f t="shared" si="14"/>
        <v>4.5</v>
      </c>
      <c r="L179" s="114" t="s">
        <v>604</v>
      </c>
      <c r="Y179"/>
    </row>
    <row r="180" spans="1:25" s="11" customFormat="1" ht="13.5">
      <c r="A180" s="75" t="s">
        <v>178</v>
      </c>
      <c r="B180" s="58" t="s">
        <v>102</v>
      </c>
      <c r="C180" s="58" t="s">
        <v>140</v>
      </c>
      <c r="D180" s="58" t="s">
        <v>104</v>
      </c>
      <c r="E180" s="62">
        <v>13.05</v>
      </c>
      <c r="F180" s="61">
        <v>1</v>
      </c>
      <c r="G180" s="121">
        <f t="shared" si="12"/>
        <v>13.05</v>
      </c>
      <c r="H180" s="113">
        <f t="shared" si="13"/>
        <v>6.525</v>
      </c>
      <c r="I180" s="113"/>
      <c r="J180" s="113"/>
      <c r="K180" s="113">
        <f t="shared" si="14"/>
        <v>6.525</v>
      </c>
      <c r="L180" s="114" t="s">
        <v>604</v>
      </c>
      <c r="Y180"/>
    </row>
    <row r="181" spans="1:25" s="11" customFormat="1" ht="13.5">
      <c r="A181" s="77" t="s">
        <v>179</v>
      </c>
      <c r="B181" s="58" t="s">
        <v>102</v>
      </c>
      <c r="C181" s="58" t="s">
        <v>140</v>
      </c>
      <c r="D181" s="58" t="s">
        <v>104</v>
      </c>
      <c r="E181" s="63">
        <v>8.2</v>
      </c>
      <c r="F181" s="61">
        <v>1</v>
      </c>
      <c r="G181" s="121">
        <f t="shared" si="12"/>
        <v>8.2</v>
      </c>
      <c r="H181" s="113">
        <f t="shared" si="13"/>
        <v>4.1</v>
      </c>
      <c r="I181" s="113"/>
      <c r="J181" s="113"/>
      <c r="K181" s="113">
        <f t="shared" si="14"/>
        <v>4.1</v>
      </c>
      <c r="L181" s="114" t="s">
        <v>604</v>
      </c>
      <c r="Y181"/>
    </row>
    <row r="182" spans="1:25" s="11" customFormat="1" ht="13.5">
      <c r="A182" s="77" t="s">
        <v>180</v>
      </c>
      <c r="B182" s="58" t="s">
        <v>102</v>
      </c>
      <c r="C182" s="58" t="s">
        <v>140</v>
      </c>
      <c r="D182" s="58" t="s">
        <v>104</v>
      </c>
      <c r="E182" s="63">
        <v>11.6</v>
      </c>
      <c r="F182" s="61">
        <v>2</v>
      </c>
      <c r="G182" s="121">
        <f t="shared" si="12"/>
        <v>23.2</v>
      </c>
      <c r="H182" s="113">
        <f t="shared" si="13"/>
        <v>5.8</v>
      </c>
      <c r="I182" s="113"/>
      <c r="J182" s="113"/>
      <c r="K182" s="113">
        <f t="shared" si="14"/>
        <v>11.6</v>
      </c>
      <c r="L182" s="114" t="s">
        <v>604</v>
      </c>
      <c r="Y182"/>
    </row>
    <row r="183" spans="1:25" s="11" customFormat="1" ht="13.5">
      <c r="A183" s="75" t="s">
        <v>181</v>
      </c>
      <c r="B183" s="58" t="s">
        <v>102</v>
      </c>
      <c r="C183" s="58" t="s">
        <v>140</v>
      </c>
      <c r="D183" s="58" t="s">
        <v>104</v>
      </c>
      <c r="E183" s="62">
        <v>8.5</v>
      </c>
      <c r="F183" s="61">
        <v>3</v>
      </c>
      <c r="G183" s="121">
        <f t="shared" si="12"/>
        <v>25.5</v>
      </c>
      <c r="H183" s="113">
        <f t="shared" si="13"/>
        <v>4.25</v>
      </c>
      <c r="I183" s="113"/>
      <c r="J183" s="113"/>
      <c r="K183" s="113">
        <f t="shared" si="14"/>
        <v>12.75</v>
      </c>
      <c r="L183" s="114" t="s">
        <v>604</v>
      </c>
      <c r="Y183"/>
    </row>
    <row r="184" spans="1:25" s="11" customFormat="1" ht="13.5">
      <c r="A184" s="75" t="s">
        <v>182</v>
      </c>
      <c r="B184" s="58" t="s">
        <v>102</v>
      </c>
      <c r="C184" s="58" t="s">
        <v>140</v>
      </c>
      <c r="D184" s="58" t="s">
        <v>104</v>
      </c>
      <c r="E184" s="62">
        <v>6.6</v>
      </c>
      <c r="F184" s="61">
        <v>2</v>
      </c>
      <c r="G184" s="121">
        <f t="shared" si="12"/>
        <v>13.2</v>
      </c>
      <c r="H184" s="113">
        <f t="shared" si="13"/>
        <v>3.3</v>
      </c>
      <c r="I184" s="113"/>
      <c r="J184" s="113"/>
      <c r="K184" s="113">
        <f t="shared" si="14"/>
        <v>6.6</v>
      </c>
      <c r="L184" s="114" t="s">
        <v>604</v>
      </c>
      <c r="Y184"/>
    </row>
    <row r="185" spans="1:25" s="11" customFormat="1" ht="13.5">
      <c r="A185" s="77" t="s">
        <v>183</v>
      </c>
      <c r="B185" s="58" t="s">
        <v>102</v>
      </c>
      <c r="C185" s="58" t="s">
        <v>140</v>
      </c>
      <c r="D185" s="58" t="s">
        <v>104</v>
      </c>
      <c r="E185" s="63">
        <v>14.1</v>
      </c>
      <c r="F185" s="61">
        <v>1</v>
      </c>
      <c r="G185" s="121">
        <f t="shared" si="12"/>
        <v>14.1</v>
      </c>
      <c r="H185" s="113">
        <f t="shared" si="13"/>
        <v>7.05</v>
      </c>
      <c r="I185" s="113"/>
      <c r="J185" s="113"/>
      <c r="K185" s="113">
        <f t="shared" si="14"/>
        <v>7.05</v>
      </c>
      <c r="L185" s="114" t="s">
        <v>604</v>
      </c>
      <c r="Y185"/>
    </row>
    <row r="186" spans="1:25" s="11" customFormat="1" ht="13.5">
      <c r="A186" s="75" t="s">
        <v>184</v>
      </c>
      <c r="B186" s="58" t="s">
        <v>102</v>
      </c>
      <c r="C186" s="58" t="s">
        <v>140</v>
      </c>
      <c r="D186" s="58" t="s">
        <v>104</v>
      </c>
      <c r="E186" s="62">
        <v>7.4</v>
      </c>
      <c r="F186" s="61">
        <v>2</v>
      </c>
      <c r="G186" s="121">
        <f t="shared" si="12"/>
        <v>14.8</v>
      </c>
      <c r="H186" s="113">
        <f t="shared" si="13"/>
        <v>3.7</v>
      </c>
      <c r="I186" s="113"/>
      <c r="J186" s="113"/>
      <c r="K186" s="113">
        <f t="shared" si="14"/>
        <v>7.4</v>
      </c>
      <c r="L186" s="114" t="s">
        <v>604</v>
      </c>
      <c r="Y186"/>
    </row>
    <row r="187" spans="1:25" s="11" customFormat="1" ht="13.5">
      <c r="A187" s="77" t="s">
        <v>185</v>
      </c>
      <c r="B187" s="58" t="s">
        <v>102</v>
      </c>
      <c r="C187" s="58" t="s">
        <v>140</v>
      </c>
      <c r="D187" s="58" t="s">
        <v>104</v>
      </c>
      <c r="E187" s="63">
        <v>7.9</v>
      </c>
      <c r="F187" s="61">
        <v>2</v>
      </c>
      <c r="G187" s="121">
        <f t="shared" si="12"/>
        <v>15.8</v>
      </c>
      <c r="H187" s="113">
        <f t="shared" si="13"/>
        <v>3.95</v>
      </c>
      <c r="I187" s="113"/>
      <c r="J187" s="113"/>
      <c r="K187" s="113">
        <f t="shared" si="14"/>
        <v>7.9</v>
      </c>
      <c r="L187" s="114" t="s">
        <v>604</v>
      </c>
      <c r="Y187"/>
    </row>
    <row r="188" spans="1:25" s="11" customFormat="1" ht="13.5">
      <c r="A188" s="75" t="s">
        <v>187</v>
      </c>
      <c r="B188" s="58" t="s">
        <v>162</v>
      </c>
      <c r="C188" s="58" t="s">
        <v>104</v>
      </c>
      <c r="D188" s="58" t="s">
        <v>186</v>
      </c>
      <c r="E188" s="62">
        <v>23</v>
      </c>
      <c r="F188" s="61">
        <v>5</v>
      </c>
      <c r="G188" s="121">
        <f t="shared" si="12"/>
        <v>115</v>
      </c>
      <c r="H188" s="113">
        <f t="shared" si="13"/>
        <v>11.5</v>
      </c>
      <c r="I188" s="113"/>
      <c r="J188" s="113"/>
      <c r="K188" s="113">
        <f t="shared" si="14"/>
        <v>57.5</v>
      </c>
      <c r="L188" s="114" t="s">
        <v>604</v>
      </c>
      <c r="Y188"/>
    </row>
    <row r="189" spans="1:25" s="11" customFormat="1" ht="13.5">
      <c r="A189" s="75" t="s">
        <v>188</v>
      </c>
      <c r="B189" s="58" t="s">
        <v>162</v>
      </c>
      <c r="C189" s="58" t="s">
        <v>104</v>
      </c>
      <c r="D189" s="58" t="s">
        <v>186</v>
      </c>
      <c r="E189" s="62">
        <v>63</v>
      </c>
      <c r="F189" s="61">
        <v>2</v>
      </c>
      <c r="G189" s="121">
        <f t="shared" si="12"/>
        <v>126</v>
      </c>
      <c r="H189" s="113">
        <f t="shared" si="13"/>
        <v>31.5</v>
      </c>
      <c r="I189" s="113"/>
      <c r="J189" s="113"/>
      <c r="K189" s="113">
        <f t="shared" si="14"/>
        <v>63</v>
      </c>
      <c r="L189" s="114" t="s">
        <v>604</v>
      </c>
      <c r="Y189"/>
    </row>
    <row r="190" spans="1:25" s="11" customFormat="1" ht="13.5">
      <c r="A190" s="75" t="s">
        <v>189</v>
      </c>
      <c r="B190" s="58" t="s">
        <v>102</v>
      </c>
      <c r="C190" s="58" t="s">
        <v>103</v>
      </c>
      <c r="D190" s="58" t="s">
        <v>104</v>
      </c>
      <c r="E190" s="60">
        <v>16.8</v>
      </c>
      <c r="F190" s="61">
        <f>1</f>
        <v>1</v>
      </c>
      <c r="G190" s="121">
        <f t="shared" si="12"/>
        <v>16.8</v>
      </c>
      <c r="H190" s="113">
        <f t="shared" si="13"/>
        <v>8.4</v>
      </c>
      <c r="I190" s="113"/>
      <c r="J190" s="113"/>
      <c r="K190" s="113">
        <f t="shared" si="14"/>
        <v>8.4</v>
      </c>
      <c r="L190" s="114" t="s">
        <v>604</v>
      </c>
      <c r="Y190"/>
    </row>
    <row r="191" spans="1:25" s="11" customFormat="1" ht="13.5">
      <c r="A191" s="75" t="s">
        <v>190</v>
      </c>
      <c r="B191" s="58" t="s">
        <v>102</v>
      </c>
      <c r="C191" s="58" t="s">
        <v>103</v>
      </c>
      <c r="D191" s="58" t="s">
        <v>104</v>
      </c>
      <c r="E191" s="60">
        <v>16.9</v>
      </c>
      <c r="F191" s="61">
        <v>1</v>
      </c>
      <c r="G191" s="121">
        <f t="shared" si="12"/>
        <v>16.9</v>
      </c>
      <c r="H191" s="113">
        <f t="shared" si="13"/>
        <v>8.45</v>
      </c>
      <c r="I191" s="113"/>
      <c r="J191" s="113"/>
      <c r="K191" s="113">
        <f t="shared" si="14"/>
        <v>8.45</v>
      </c>
      <c r="L191" s="114" t="s">
        <v>604</v>
      </c>
      <c r="Y191"/>
    </row>
    <row r="192" spans="1:25" s="11" customFormat="1" ht="13.5">
      <c r="A192" s="75" t="s">
        <v>192</v>
      </c>
      <c r="B192" s="58" t="s">
        <v>102</v>
      </c>
      <c r="C192" s="58" t="s">
        <v>191</v>
      </c>
      <c r="D192" s="58" t="s">
        <v>104</v>
      </c>
      <c r="E192" s="62">
        <v>85</v>
      </c>
      <c r="F192" s="61">
        <f>1+1</f>
        <v>2</v>
      </c>
      <c r="G192" s="121">
        <f t="shared" si="12"/>
        <v>170</v>
      </c>
      <c r="H192" s="113">
        <f t="shared" si="13"/>
        <v>42.5</v>
      </c>
      <c r="I192" s="113"/>
      <c r="J192" s="113"/>
      <c r="K192" s="113">
        <f t="shared" si="14"/>
        <v>85</v>
      </c>
      <c r="L192" s="114" t="s">
        <v>604</v>
      </c>
      <c r="Y192"/>
    </row>
    <row r="193" spans="1:25" s="11" customFormat="1" ht="13.5">
      <c r="A193" s="75" t="s">
        <v>193</v>
      </c>
      <c r="B193" s="58" t="s">
        <v>102</v>
      </c>
      <c r="C193" s="58" t="s">
        <v>191</v>
      </c>
      <c r="D193" s="58" t="s">
        <v>104</v>
      </c>
      <c r="E193" s="62">
        <v>21.3</v>
      </c>
      <c r="F193" s="61">
        <f>2</f>
        <v>2</v>
      </c>
      <c r="G193" s="121">
        <f t="shared" si="12"/>
        <v>42.6</v>
      </c>
      <c r="H193" s="113">
        <f t="shared" si="13"/>
        <v>10.65</v>
      </c>
      <c r="I193" s="113"/>
      <c r="J193" s="113"/>
      <c r="K193" s="113">
        <f t="shared" si="14"/>
        <v>21.3</v>
      </c>
      <c r="L193" s="114" t="s">
        <v>604</v>
      </c>
      <c r="Y193"/>
    </row>
    <row r="194" spans="1:25" s="11" customFormat="1" ht="13.5">
      <c r="A194" s="75" t="s">
        <v>194</v>
      </c>
      <c r="B194" s="58" t="s">
        <v>102</v>
      </c>
      <c r="C194" s="58" t="s">
        <v>191</v>
      </c>
      <c r="D194" s="58" t="s">
        <v>104</v>
      </c>
      <c r="E194" s="60">
        <v>34.7</v>
      </c>
      <c r="F194" s="61">
        <f>1</f>
        <v>1</v>
      </c>
      <c r="G194" s="121">
        <f t="shared" si="12"/>
        <v>34.7</v>
      </c>
      <c r="H194" s="113">
        <f t="shared" si="13"/>
        <v>17.35</v>
      </c>
      <c r="I194" s="113"/>
      <c r="J194" s="113"/>
      <c r="K194" s="113">
        <f t="shared" si="14"/>
        <v>17.35</v>
      </c>
      <c r="L194" s="114" t="s">
        <v>604</v>
      </c>
      <c r="Y194"/>
    </row>
    <row r="195" spans="1:25" s="11" customFormat="1" ht="13.5">
      <c r="A195" s="75" t="s">
        <v>195</v>
      </c>
      <c r="B195" s="58" t="s">
        <v>162</v>
      </c>
      <c r="C195" s="58" t="s">
        <v>104</v>
      </c>
      <c r="D195" s="58" t="s">
        <v>186</v>
      </c>
      <c r="E195" s="62">
        <v>25</v>
      </c>
      <c r="F195" s="61">
        <v>1</v>
      </c>
      <c r="G195" s="121">
        <f t="shared" si="12"/>
        <v>25</v>
      </c>
      <c r="H195" s="113">
        <f t="shared" si="13"/>
        <v>12.5</v>
      </c>
      <c r="I195" s="113"/>
      <c r="J195" s="113"/>
      <c r="K195" s="113">
        <f t="shared" si="14"/>
        <v>12.5</v>
      </c>
      <c r="L195" s="114" t="s">
        <v>604</v>
      </c>
      <c r="Y195"/>
    </row>
    <row r="196" spans="1:25" s="11" customFormat="1" ht="13.5">
      <c r="A196" s="75" t="s">
        <v>196</v>
      </c>
      <c r="B196" s="58" t="s">
        <v>162</v>
      </c>
      <c r="C196" s="58" t="s">
        <v>104</v>
      </c>
      <c r="D196" s="58" t="s">
        <v>186</v>
      </c>
      <c r="E196" s="62">
        <v>52</v>
      </c>
      <c r="F196" s="61">
        <v>5</v>
      </c>
      <c r="G196" s="121">
        <f t="shared" si="12"/>
        <v>260</v>
      </c>
      <c r="H196" s="113">
        <f t="shared" si="13"/>
        <v>26</v>
      </c>
      <c r="I196" s="113"/>
      <c r="J196" s="113"/>
      <c r="K196" s="113">
        <f t="shared" si="14"/>
        <v>130</v>
      </c>
      <c r="L196" s="114" t="s">
        <v>604</v>
      </c>
      <c r="Y196"/>
    </row>
    <row r="197" spans="1:25" s="11" customFormat="1" ht="13.5">
      <c r="A197" s="75" t="s">
        <v>197</v>
      </c>
      <c r="B197" s="58" t="s">
        <v>162</v>
      </c>
      <c r="C197" s="58" t="s">
        <v>104</v>
      </c>
      <c r="D197" s="58" t="s">
        <v>186</v>
      </c>
      <c r="E197" s="62">
        <v>114</v>
      </c>
      <c r="F197" s="61">
        <v>3</v>
      </c>
      <c r="G197" s="121">
        <f t="shared" si="12"/>
        <v>342</v>
      </c>
      <c r="H197" s="113">
        <f t="shared" si="13"/>
        <v>57</v>
      </c>
      <c r="I197" s="113"/>
      <c r="J197" s="113"/>
      <c r="K197" s="113">
        <f t="shared" si="14"/>
        <v>171</v>
      </c>
      <c r="L197" s="114" t="s">
        <v>604</v>
      </c>
      <c r="Y197"/>
    </row>
    <row r="198" spans="1:25" s="11" customFormat="1" ht="13.5">
      <c r="A198" s="75" t="s">
        <v>198</v>
      </c>
      <c r="B198" s="58" t="s">
        <v>162</v>
      </c>
      <c r="C198" s="58" t="s">
        <v>104</v>
      </c>
      <c r="D198" s="58" t="s">
        <v>186</v>
      </c>
      <c r="E198" s="62">
        <v>35</v>
      </c>
      <c r="F198" s="61">
        <v>1</v>
      </c>
      <c r="G198" s="121">
        <f t="shared" si="12"/>
        <v>35</v>
      </c>
      <c r="H198" s="113">
        <f t="shared" si="13"/>
        <v>17.5</v>
      </c>
      <c r="I198" s="113"/>
      <c r="J198" s="113"/>
      <c r="K198" s="113">
        <f t="shared" si="14"/>
        <v>17.5</v>
      </c>
      <c r="L198" s="114" t="s">
        <v>604</v>
      </c>
      <c r="Y198"/>
    </row>
    <row r="199" spans="1:25" s="11" customFormat="1" ht="13.5">
      <c r="A199" s="75" t="s">
        <v>199</v>
      </c>
      <c r="B199" s="58" t="s">
        <v>162</v>
      </c>
      <c r="C199" s="58" t="s">
        <v>104</v>
      </c>
      <c r="D199" s="58" t="s">
        <v>186</v>
      </c>
      <c r="E199" s="62">
        <v>80</v>
      </c>
      <c r="F199" s="61">
        <v>1</v>
      </c>
      <c r="G199" s="121">
        <f aca="true" t="shared" si="15" ref="G199:G221">F199*E199</f>
        <v>80</v>
      </c>
      <c r="H199" s="113">
        <f aca="true" t="shared" si="16" ref="H199:H221">E199*0.5</f>
        <v>40</v>
      </c>
      <c r="I199" s="113"/>
      <c r="J199" s="113"/>
      <c r="K199" s="113">
        <f aca="true" t="shared" si="17" ref="K199:K221">H199*F199</f>
        <v>40</v>
      </c>
      <c r="L199" s="114" t="s">
        <v>604</v>
      </c>
      <c r="Y199"/>
    </row>
    <row r="200" spans="1:25" s="11" customFormat="1" ht="14.25" thickBot="1">
      <c r="A200" s="78" t="s">
        <v>200</v>
      </c>
      <c r="B200" s="79" t="s">
        <v>102</v>
      </c>
      <c r="C200" s="79" t="s">
        <v>135</v>
      </c>
      <c r="D200" s="79" t="s">
        <v>104</v>
      </c>
      <c r="E200" s="80">
        <v>92</v>
      </c>
      <c r="F200" s="81">
        <f>1</f>
        <v>1</v>
      </c>
      <c r="G200" s="122">
        <f t="shared" si="15"/>
        <v>92</v>
      </c>
      <c r="H200" s="113">
        <f t="shared" si="16"/>
        <v>46</v>
      </c>
      <c r="I200" s="113"/>
      <c r="J200" s="113"/>
      <c r="K200" s="113">
        <f t="shared" si="17"/>
        <v>46</v>
      </c>
      <c r="L200" s="114" t="s">
        <v>604</v>
      </c>
      <c r="Y200"/>
    </row>
    <row r="201" spans="1:25" s="11" customFormat="1" ht="25.5">
      <c r="A201" s="82" t="s">
        <v>204</v>
      </c>
      <c r="B201" s="83" t="s">
        <v>201</v>
      </c>
      <c r="C201" s="83" t="s">
        <v>202</v>
      </c>
      <c r="D201" s="83" t="s">
        <v>203</v>
      </c>
      <c r="E201" s="84">
        <v>0.48</v>
      </c>
      <c r="F201" s="85">
        <v>146</v>
      </c>
      <c r="G201" s="123">
        <f t="shared" si="15"/>
        <v>70.08</v>
      </c>
      <c r="H201" s="113">
        <f t="shared" si="16"/>
        <v>0.24</v>
      </c>
      <c r="I201" s="113"/>
      <c r="J201" s="113"/>
      <c r="K201" s="113">
        <f t="shared" si="17"/>
        <v>35.04</v>
      </c>
      <c r="L201" s="114" t="s">
        <v>604</v>
      </c>
      <c r="Y201"/>
    </row>
    <row r="202" spans="1:25" s="11" customFormat="1" ht="25.5">
      <c r="A202" s="75" t="s">
        <v>205</v>
      </c>
      <c r="B202" s="58" t="s">
        <v>201</v>
      </c>
      <c r="C202" s="58" t="s">
        <v>202</v>
      </c>
      <c r="D202" s="58" t="s">
        <v>203</v>
      </c>
      <c r="E202" s="62">
        <v>0.48</v>
      </c>
      <c r="F202" s="61">
        <v>29</v>
      </c>
      <c r="G202" s="121">
        <f t="shared" si="15"/>
        <v>13.92</v>
      </c>
      <c r="H202" s="113">
        <f t="shared" si="16"/>
        <v>0.24</v>
      </c>
      <c r="I202" s="113"/>
      <c r="J202" s="113"/>
      <c r="K202" s="113">
        <f t="shared" si="17"/>
        <v>6.96</v>
      </c>
      <c r="L202" s="114" t="s">
        <v>604</v>
      </c>
      <c r="Y202"/>
    </row>
    <row r="203" spans="1:25" s="11" customFormat="1" ht="13.5">
      <c r="A203" s="75" t="s">
        <v>208</v>
      </c>
      <c r="B203" s="58" t="s">
        <v>201</v>
      </c>
      <c r="C203" s="58" t="s">
        <v>206</v>
      </c>
      <c r="D203" s="58" t="s">
        <v>207</v>
      </c>
      <c r="E203" s="62">
        <v>0.03</v>
      </c>
      <c r="F203" s="61">
        <f>180</f>
        <v>180</v>
      </c>
      <c r="G203" s="121">
        <f t="shared" si="15"/>
        <v>5.3999999999999995</v>
      </c>
      <c r="H203" s="113">
        <f t="shared" si="16"/>
        <v>0.015</v>
      </c>
      <c r="I203" s="113"/>
      <c r="J203" s="113"/>
      <c r="K203" s="113">
        <f t="shared" si="17"/>
        <v>2.6999999999999997</v>
      </c>
      <c r="L203" s="114" t="s">
        <v>604</v>
      </c>
      <c r="Y203"/>
    </row>
    <row r="204" spans="1:25" s="11" customFormat="1" ht="13.5">
      <c r="A204" s="75" t="s">
        <v>209</v>
      </c>
      <c r="B204" s="58" t="s">
        <v>201</v>
      </c>
      <c r="C204" s="58" t="s">
        <v>206</v>
      </c>
      <c r="D204" s="58" t="s">
        <v>207</v>
      </c>
      <c r="E204" s="62">
        <v>0.028</v>
      </c>
      <c r="F204" s="61">
        <f>9</f>
        <v>9</v>
      </c>
      <c r="G204" s="121">
        <f t="shared" si="15"/>
        <v>0.252</v>
      </c>
      <c r="H204" s="113">
        <f t="shared" si="16"/>
        <v>0.014</v>
      </c>
      <c r="I204" s="113"/>
      <c r="J204" s="113"/>
      <c r="K204" s="113">
        <f t="shared" si="17"/>
        <v>0.126</v>
      </c>
      <c r="L204" s="114" t="s">
        <v>604</v>
      </c>
      <c r="Y204"/>
    </row>
    <row r="205" spans="1:25" s="11" customFormat="1" ht="25.5">
      <c r="A205" s="76" t="s">
        <v>210</v>
      </c>
      <c r="B205" s="58" t="s">
        <v>201</v>
      </c>
      <c r="C205" s="58" t="s">
        <v>206</v>
      </c>
      <c r="D205" s="58" t="s">
        <v>207</v>
      </c>
      <c r="E205" s="62">
        <v>0.01</v>
      </c>
      <c r="F205" s="61">
        <f>4</f>
        <v>4</v>
      </c>
      <c r="G205" s="121">
        <f t="shared" si="15"/>
        <v>0.04</v>
      </c>
      <c r="H205" s="113">
        <f t="shared" si="16"/>
        <v>0.005</v>
      </c>
      <c r="I205" s="113"/>
      <c r="J205" s="113"/>
      <c r="K205" s="113">
        <f t="shared" si="17"/>
        <v>0.02</v>
      </c>
      <c r="L205" s="114" t="s">
        <v>604</v>
      </c>
      <c r="Y205"/>
    </row>
    <row r="206" spans="1:25" s="11" customFormat="1" ht="13.5">
      <c r="A206" s="75" t="s">
        <v>211</v>
      </c>
      <c r="B206" s="58" t="s">
        <v>201</v>
      </c>
      <c r="C206" s="58" t="s">
        <v>206</v>
      </c>
      <c r="D206" s="58" t="s">
        <v>207</v>
      </c>
      <c r="E206" s="62">
        <v>0.03</v>
      </c>
      <c r="F206" s="61">
        <f>138</f>
        <v>138</v>
      </c>
      <c r="G206" s="121">
        <f t="shared" si="15"/>
        <v>4.14</v>
      </c>
      <c r="H206" s="113">
        <f t="shared" si="16"/>
        <v>0.015</v>
      </c>
      <c r="I206" s="113"/>
      <c r="J206" s="113"/>
      <c r="K206" s="113">
        <f t="shared" si="17"/>
        <v>2.07</v>
      </c>
      <c r="L206" s="114" t="s">
        <v>604</v>
      </c>
      <c r="Y206"/>
    </row>
    <row r="207" spans="1:25" s="11" customFormat="1" ht="13.5">
      <c r="A207" s="75" t="s">
        <v>212</v>
      </c>
      <c r="B207" s="58" t="s">
        <v>201</v>
      </c>
      <c r="C207" s="58" t="s">
        <v>206</v>
      </c>
      <c r="D207" s="58" t="s">
        <v>207</v>
      </c>
      <c r="E207" s="62">
        <v>0.01</v>
      </c>
      <c r="F207" s="61">
        <f>284</f>
        <v>284</v>
      </c>
      <c r="G207" s="121">
        <f t="shared" si="15"/>
        <v>2.84</v>
      </c>
      <c r="H207" s="113">
        <f t="shared" si="16"/>
        <v>0.005</v>
      </c>
      <c r="I207" s="113"/>
      <c r="J207" s="113"/>
      <c r="K207" s="113">
        <f t="shared" si="17"/>
        <v>1.42</v>
      </c>
      <c r="L207" s="114" t="s">
        <v>604</v>
      </c>
      <c r="Y207"/>
    </row>
    <row r="208" spans="1:25" s="11" customFormat="1" ht="13.5">
      <c r="A208" s="75" t="s">
        <v>213</v>
      </c>
      <c r="B208" s="58" t="s">
        <v>201</v>
      </c>
      <c r="C208" s="58" t="s">
        <v>206</v>
      </c>
      <c r="D208" s="58" t="s">
        <v>207</v>
      </c>
      <c r="E208" s="62">
        <v>0.028</v>
      </c>
      <c r="F208" s="61">
        <f>217</f>
        <v>217</v>
      </c>
      <c r="G208" s="121">
        <f t="shared" si="15"/>
        <v>6.0760000000000005</v>
      </c>
      <c r="H208" s="113">
        <f t="shared" si="16"/>
        <v>0.014</v>
      </c>
      <c r="I208" s="113"/>
      <c r="J208" s="113"/>
      <c r="K208" s="113">
        <f t="shared" si="17"/>
        <v>3.0380000000000003</v>
      </c>
      <c r="L208" s="114" t="s">
        <v>604</v>
      </c>
      <c r="Y208"/>
    </row>
    <row r="209" spans="1:25" s="11" customFormat="1" ht="13.5">
      <c r="A209" s="75" t="s">
        <v>214</v>
      </c>
      <c r="B209" s="58" t="s">
        <v>201</v>
      </c>
      <c r="C209" s="58" t="s">
        <v>206</v>
      </c>
      <c r="D209" s="58" t="s">
        <v>207</v>
      </c>
      <c r="E209" s="62">
        <v>0.01</v>
      </c>
      <c r="F209" s="61">
        <f>14+58</f>
        <v>72</v>
      </c>
      <c r="G209" s="121">
        <f t="shared" si="15"/>
        <v>0.72</v>
      </c>
      <c r="H209" s="113">
        <f t="shared" si="16"/>
        <v>0.005</v>
      </c>
      <c r="I209" s="113"/>
      <c r="J209" s="113"/>
      <c r="K209" s="113">
        <f t="shared" si="17"/>
        <v>0.36</v>
      </c>
      <c r="L209" s="114" t="s">
        <v>604</v>
      </c>
      <c r="Y209"/>
    </row>
    <row r="210" spans="1:25" s="11" customFormat="1" ht="13.5">
      <c r="A210" s="75" t="s">
        <v>215</v>
      </c>
      <c r="B210" s="58" t="s">
        <v>201</v>
      </c>
      <c r="C210" s="58" t="s">
        <v>206</v>
      </c>
      <c r="D210" s="58" t="s">
        <v>207</v>
      </c>
      <c r="E210" s="62">
        <v>0.03</v>
      </c>
      <c r="F210" s="61">
        <f>71</f>
        <v>71</v>
      </c>
      <c r="G210" s="121">
        <f t="shared" si="15"/>
        <v>2.13</v>
      </c>
      <c r="H210" s="113">
        <f t="shared" si="16"/>
        <v>0.015</v>
      </c>
      <c r="I210" s="113"/>
      <c r="J210" s="113"/>
      <c r="K210" s="113">
        <f t="shared" si="17"/>
        <v>1.065</v>
      </c>
      <c r="L210" s="114" t="s">
        <v>604</v>
      </c>
      <c r="Y210"/>
    </row>
    <row r="211" spans="1:25" s="11" customFormat="1" ht="13.5">
      <c r="A211" s="75" t="s">
        <v>216</v>
      </c>
      <c r="B211" s="58" t="s">
        <v>201</v>
      </c>
      <c r="C211" s="58" t="s">
        <v>206</v>
      </c>
      <c r="D211" s="58" t="s">
        <v>207</v>
      </c>
      <c r="E211" s="62">
        <v>0.03</v>
      </c>
      <c r="F211" s="61">
        <f>162</f>
        <v>162</v>
      </c>
      <c r="G211" s="121">
        <f t="shared" si="15"/>
        <v>4.859999999999999</v>
      </c>
      <c r="H211" s="113">
        <f t="shared" si="16"/>
        <v>0.015</v>
      </c>
      <c r="I211" s="113"/>
      <c r="J211" s="113"/>
      <c r="K211" s="113">
        <f t="shared" si="17"/>
        <v>2.4299999999999997</v>
      </c>
      <c r="L211" s="114" t="s">
        <v>604</v>
      </c>
      <c r="Y211"/>
    </row>
    <row r="212" spans="1:25" s="11" customFormat="1" ht="13.5">
      <c r="A212" s="75" t="s">
        <v>217</v>
      </c>
      <c r="B212" s="58" t="s">
        <v>201</v>
      </c>
      <c r="C212" s="58" t="s">
        <v>206</v>
      </c>
      <c r="D212" s="58" t="s">
        <v>207</v>
      </c>
      <c r="E212" s="62">
        <v>0.01</v>
      </c>
      <c r="F212" s="61">
        <f>67</f>
        <v>67</v>
      </c>
      <c r="G212" s="121">
        <f t="shared" si="15"/>
        <v>0.67</v>
      </c>
      <c r="H212" s="113">
        <f t="shared" si="16"/>
        <v>0.005</v>
      </c>
      <c r="I212" s="113"/>
      <c r="J212" s="113"/>
      <c r="K212" s="113">
        <f t="shared" si="17"/>
        <v>0.335</v>
      </c>
      <c r="L212" s="114" t="s">
        <v>604</v>
      </c>
      <c r="Y212"/>
    </row>
    <row r="213" spans="1:25" s="11" customFormat="1" ht="13.5">
      <c r="A213" s="75" t="s">
        <v>218</v>
      </c>
      <c r="B213" s="58" t="s">
        <v>201</v>
      </c>
      <c r="C213" s="58" t="s">
        <v>206</v>
      </c>
      <c r="D213" s="58" t="s">
        <v>207</v>
      </c>
      <c r="E213" s="62">
        <v>0.03</v>
      </c>
      <c r="F213" s="61">
        <f>48</f>
        <v>48</v>
      </c>
      <c r="G213" s="121">
        <f t="shared" si="15"/>
        <v>1.44</v>
      </c>
      <c r="H213" s="113">
        <f t="shared" si="16"/>
        <v>0.015</v>
      </c>
      <c r="I213" s="113"/>
      <c r="J213" s="113"/>
      <c r="K213" s="113">
        <f t="shared" si="17"/>
        <v>0.72</v>
      </c>
      <c r="L213" s="114" t="s">
        <v>604</v>
      </c>
      <c r="Y213"/>
    </row>
    <row r="214" spans="1:25" s="11" customFormat="1" ht="13.5">
      <c r="A214" s="75" t="s">
        <v>219</v>
      </c>
      <c r="B214" s="58" t="s">
        <v>201</v>
      </c>
      <c r="C214" s="58" t="s">
        <v>206</v>
      </c>
      <c r="D214" s="58" t="s">
        <v>207</v>
      </c>
      <c r="E214" s="62">
        <v>0.028</v>
      </c>
      <c r="F214" s="61">
        <f>126+38</f>
        <v>164</v>
      </c>
      <c r="G214" s="121">
        <f t="shared" si="15"/>
        <v>4.5920000000000005</v>
      </c>
      <c r="H214" s="113">
        <f t="shared" si="16"/>
        <v>0.014</v>
      </c>
      <c r="I214" s="113"/>
      <c r="J214" s="113"/>
      <c r="K214" s="113">
        <f t="shared" si="17"/>
        <v>2.2960000000000003</v>
      </c>
      <c r="L214" s="114" t="s">
        <v>604</v>
      </c>
      <c r="Y214"/>
    </row>
    <row r="215" spans="1:25" s="11" customFormat="1" ht="25.5">
      <c r="A215" s="75" t="s">
        <v>220</v>
      </c>
      <c r="B215" s="58" t="s">
        <v>201</v>
      </c>
      <c r="C215" s="58" t="s">
        <v>206</v>
      </c>
      <c r="D215" s="58" t="s">
        <v>207</v>
      </c>
      <c r="E215" s="62">
        <v>0.028</v>
      </c>
      <c r="F215" s="61">
        <f>63</f>
        <v>63</v>
      </c>
      <c r="G215" s="121">
        <f t="shared" si="15"/>
        <v>1.764</v>
      </c>
      <c r="H215" s="113">
        <f t="shared" si="16"/>
        <v>0.014</v>
      </c>
      <c r="I215" s="113"/>
      <c r="J215" s="113"/>
      <c r="K215" s="113">
        <f t="shared" si="17"/>
        <v>0.882</v>
      </c>
      <c r="L215" s="114" t="s">
        <v>604</v>
      </c>
      <c r="Y215"/>
    </row>
    <row r="216" spans="1:25" s="11" customFormat="1" ht="25.5">
      <c r="A216" s="75" t="s">
        <v>221</v>
      </c>
      <c r="B216" s="58" t="s">
        <v>201</v>
      </c>
      <c r="C216" s="58" t="s">
        <v>206</v>
      </c>
      <c r="D216" s="58" t="s">
        <v>207</v>
      </c>
      <c r="E216" s="62">
        <v>0.03</v>
      </c>
      <c r="F216" s="61">
        <f>304+85</f>
        <v>389</v>
      </c>
      <c r="G216" s="121">
        <f t="shared" si="15"/>
        <v>11.67</v>
      </c>
      <c r="H216" s="113">
        <f t="shared" si="16"/>
        <v>0.015</v>
      </c>
      <c r="I216" s="113"/>
      <c r="J216" s="113"/>
      <c r="K216" s="113">
        <f t="shared" si="17"/>
        <v>5.835</v>
      </c>
      <c r="L216" s="114" t="s">
        <v>604</v>
      </c>
      <c r="Y216"/>
    </row>
    <row r="217" spans="1:25" s="11" customFormat="1" ht="13.5">
      <c r="A217" s="75" t="s">
        <v>222</v>
      </c>
      <c r="B217" s="58" t="s">
        <v>201</v>
      </c>
      <c r="C217" s="58" t="s">
        <v>206</v>
      </c>
      <c r="D217" s="58" t="s">
        <v>207</v>
      </c>
      <c r="E217" s="62">
        <v>0.01</v>
      </c>
      <c r="F217" s="61">
        <f>526</f>
        <v>526</v>
      </c>
      <c r="G217" s="121">
        <f t="shared" si="15"/>
        <v>5.26</v>
      </c>
      <c r="H217" s="113">
        <f t="shared" si="16"/>
        <v>0.005</v>
      </c>
      <c r="I217" s="113"/>
      <c r="J217" s="113"/>
      <c r="K217" s="113">
        <f t="shared" si="17"/>
        <v>2.63</v>
      </c>
      <c r="L217" s="114" t="s">
        <v>604</v>
      </c>
      <c r="Y217"/>
    </row>
    <row r="218" spans="1:25" s="11" customFormat="1" ht="13.5">
      <c r="A218" s="75" t="s">
        <v>223</v>
      </c>
      <c r="B218" s="58" t="s">
        <v>201</v>
      </c>
      <c r="C218" s="58" t="s">
        <v>206</v>
      </c>
      <c r="D218" s="58" t="s">
        <v>207</v>
      </c>
      <c r="E218" s="62">
        <v>0.01</v>
      </c>
      <c r="F218" s="61">
        <f>1090+50</f>
        <v>1140</v>
      </c>
      <c r="G218" s="121">
        <f t="shared" si="15"/>
        <v>11.4</v>
      </c>
      <c r="H218" s="113">
        <f t="shared" si="16"/>
        <v>0.005</v>
      </c>
      <c r="I218" s="113"/>
      <c r="J218" s="113"/>
      <c r="K218" s="113">
        <f t="shared" si="17"/>
        <v>5.7</v>
      </c>
      <c r="L218" s="114" t="s">
        <v>604</v>
      </c>
      <c r="Y218"/>
    </row>
    <row r="219" spans="1:25" s="11" customFormat="1" ht="25.5">
      <c r="A219" s="75" t="s">
        <v>224</v>
      </c>
      <c r="B219" s="58" t="s">
        <v>201</v>
      </c>
      <c r="C219" s="58" t="s">
        <v>206</v>
      </c>
      <c r="D219" s="58" t="s">
        <v>207</v>
      </c>
      <c r="E219" s="62">
        <v>0.028</v>
      </c>
      <c r="F219" s="61">
        <f>123+6</f>
        <v>129</v>
      </c>
      <c r="G219" s="121">
        <f t="shared" si="15"/>
        <v>3.612</v>
      </c>
      <c r="H219" s="113">
        <f t="shared" si="16"/>
        <v>0.014</v>
      </c>
      <c r="I219" s="113"/>
      <c r="J219" s="113"/>
      <c r="K219" s="113">
        <f t="shared" si="17"/>
        <v>1.806</v>
      </c>
      <c r="L219" s="114" t="s">
        <v>604</v>
      </c>
      <c r="Y219"/>
    </row>
    <row r="220" spans="1:25" s="11" customFormat="1" ht="25.5">
      <c r="A220" s="75" t="s">
        <v>225</v>
      </c>
      <c r="B220" s="58" t="s">
        <v>201</v>
      </c>
      <c r="C220" s="58" t="s">
        <v>206</v>
      </c>
      <c r="D220" s="58" t="s">
        <v>207</v>
      </c>
      <c r="E220" s="62">
        <v>0.01</v>
      </c>
      <c r="F220" s="61">
        <f>785+42</f>
        <v>827</v>
      </c>
      <c r="G220" s="121">
        <f t="shared" si="15"/>
        <v>8.27</v>
      </c>
      <c r="H220" s="113">
        <f t="shared" si="16"/>
        <v>0.005</v>
      </c>
      <c r="I220" s="113"/>
      <c r="J220" s="113"/>
      <c r="K220" s="113">
        <f t="shared" si="17"/>
        <v>4.135</v>
      </c>
      <c r="L220" s="114" t="s">
        <v>604</v>
      </c>
      <c r="Y220"/>
    </row>
    <row r="221" spans="1:25" s="11" customFormat="1" ht="25.5">
      <c r="A221" s="75" t="s">
        <v>226</v>
      </c>
      <c r="B221" s="58" t="s">
        <v>201</v>
      </c>
      <c r="C221" s="58" t="s">
        <v>206</v>
      </c>
      <c r="D221" s="58" t="s">
        <v>207</v>
      </c>
      <c r="E221" s="62">
        <v>0.01</v>
      </c>
      <c r="F221" s="61">
        <f>866+41</f>
        <v>907</v>
      </c>
      <c r="G221" s="121">
        <f t="shared" si="15"/>
        <v>9.07</v>
      </c>
      <c r="H221" s="113">
        <f t="shared" si="16"/>
        <v>0.005</v>
      </c>
      <c r="I221" s="113"/>
      <c r="J221" s="113"/>
      <c r="K221" s="113">
        <f t="shared" si="17"/>
        <v>4.535</v>
      </c>
      <c r="L221" s="114" t="s">
        <v>604</v>
      </c>
      <c r="Y221"/>
    </row>
    <row r="222" spans="1:25" s="11" customFormat="1" ht="25.5">
      <c r="A222" s="75" t="s">
        <v>227</v>
      </c>
      <c r="B222" s="58" t="s">
        <v>201</v>
      </c>
      <c r="C222" s="58" t="s">
        <v>206</v>
      </c>
      <c r="D222" s="58" t="s">
        <v>207</v>
      </c>
      <c r="E222" s="62">
        <v>0.01</v>
      </c>
      <c r="F222" s="61">
        <f>250+300+128</f>
        <v>678</v>
      </c>
      <c r="G222" s="121">
        <f aca="true" t="shared" si="18" ref="G222:G253">F222*E222</f>
        <v>6.78</v>
      </c>
      <c r="H222" s="113">
        <f aca="true" t="shared" si="19" ref="H222:H253">E222*0.5</f>
        <v>0.005</v>
      </c>
      <c r="I222" s="113"/>
      <c r="J222" s="113"/>
      <c r="K222" s="113">
        <f aca="true" t="shared" si="20" ref="K222:K253">H222*F222</f>
        <v>3.39</v>
      </c>
      <c r="L222" s="114"/>
      <c r="Y222"/>
    </row>
    <row r="223" spans="1:25" s="11" customFormat="1" ht="13.5">
      <c r="A223" s="75" t="s">
        <v>228</v>
      </c>
      <c r="B223" s="58" t="s">
        <v>201</v>
      </c>
      <c r="C223" s="58" t="s">
        <v>206</v>
      </c>
      <c r="D223" s="58" t="s">
        <v>207</v>
      </c>
      <c r="E223" s="62">
        <v>0.01</v>
      </c>
      <c r="F223" s="61">
        <f>131+32</f>
        <v>163</v>
      </c>
      <c r="G223" s="121">
        <f t="shared" si="18"/>
        <v>1.6300000000000001</v>
      </c>
      <c r="H223" s="113">
        <f t="shared" si="19"/>
        <v>0.005</v>
      </c>
      <c r="I223" s="113"/>
      <c r="J223" s="113"/>
      <c r="K223" s="113">
        <f t="shared" si="20"/>
        <v>0.8150000000000001</v>
      </c>
      <c r="L223" s="114" t="s">
        <v>604</v>
      </c>
      <c r="Y223"/>
    </row>
    <row r="224" spans="1:25" s="11" customFormat="1" ht="13.5">
      <c r="A224" s="75" t="s">
        <v>229</v>
      </c>
      <c r="B224" s="58" t="s">
        <v>201</v>
      </c>
      <c r="C224" s="58" t="s">
        <v>206</v>
      </c>
      <c r="D224" s="58" t="s">
        <v>207</v>
      </c>
      <c r="E224" s="62">
        <v>0.01</v>
      </c>
      <c r="F224" s="61">
        <f>34+16</f>
        <v>50</v>
      </c>
      <c r="G224" s="121">
        <f t="shared" si="18"/>
        <v>0.5</v>
      </c>
      <c r="H224" s="113">
        <f t="shared" si="19"/>
        <v>0.005</v>
      </c>
      <c r="I224" s="113"/>
      <c r="J224" s="113"/>
      <c r="K224" s="113">
        <f t="shared" si="20"/>
        <v>0.25</v>
      </c>
      <c r="L224" s="114" t="s">
        <v>604</v>
      </c>
      <c r="Y224"/>
    </row>
    <row r="225" spans="1:25" s="11" customFormat="1" ht="13.5">
      <c r="A225" s="75" t="s">
        <v>230</v>
      </c>
      <c r="B225" s="58" t="s">
        <v>201</v>
      </c>
      <c r="C225" s="58" t="s">
        <v>206</v>
      </c>
      <c r="D225" s="58" t="s">
        <v>207</v>
      </c>
      <c r="E225" s="62">
        <v>0.028</v>
      </c>
      <c r="F225" s="61">
        <f>67</f>
        <v>67</v>
      </c>
      <c r="G225" s="121">
        <f t="shared" si="18"/>
        <v>1.8760000000000001</v>
      </c>
      <c r="H225" s="113">
        <f t="shared" si="19"/>
        <v>0.014</v>
      </c>
      <c r="I225" s="113"/>
      <c r="J225" s="113"/>
      <c r="K225" s="113">
        <f t="shared" si="20"/>
        <v>0.9380000000000001</v>
      </c>
      <c r="L225" s="114" t="s">
        <v>604</v>
      </c>
      <c r="Y225"/>
    </row>
    <row r="226" spans="1:25" s="11" customFormat="1" ht="13.5">
      <c r="A226" s="75" t="s">
        <v>231</v>
      </c>
      <c r="B226" s="58" t="s">
        <v>201</v>
      </c>
      <c r="C226" s="58" t="s">
        <v>206</v>
      </c>
      <c r="D226" s="58" t="s">
        <v>207</v>
      </c>
      <c r="E226" s="62">
        <v>0.01</v>
      </c>
      <c r="F226" s="61">
        <f>53</f>
        <v>53</v>
      </c>
      <c r="G226" s="121">
        <f t="shared" si="18"/>
        <v>0.53</v>
      </c>
      <c r="H226" s="113">
        <f t="shared" si="19"/>
        <v>0.005</v>
      </c>
      <c r="I226" s="113"/>
      <c r="J226" s="113"/>
      <c r="K226" s="113">
        <f t="shared" si="20"/>
        <v>0.265</v>
      </c>
      <c r="L226" s="114" t="s">
        <v>604</v>
      </c>
      <c r="Y226"/>
    </row>
    <row r="227" spans="1:25" s="11" customFormat="1" ht="13.5">
      <c r="A227" s="75" t="s">
        <v>232</v>
      </c>
      <c r="B227" s="58" t="s">
        <v>201</v>
      </c>
      <c r="C227" s="58" t="s">
        <v>206</v>
      </c>
      <c r="D227" s="58" t="s">
        <v>207</v>
      </c>
      <c r="E227" s="62">
        <v>0.01</v>
      </c>
      <c r="F227" s="61">
        <f>509+47</f>
        <v>556</v>
      </c>
      <c r="G227" s="121">
        <f t="shared" si="18"/>
        <v>5.5600000000000005</v>
      </c>
      <c r="H227" s="113">
        <f t="shared" si="19"/>
        <v>0.005</v>
      </c>
      <c r="I227" s="113"/>
      <c r="J227" s="113"/>
      <c r="K227" s="113">
        <f t="shared" si="20"/>
        <v>2.7800000000000002</v>
      </c>
      <c r="L227" s="114" t="s">
        <v>604</v>
      </c>
      <c r="Y227"/>
    </row>
    <row r="228" spans="1:25" s="11" customFormat="1" ht="13.5">
      <c r="A228" s="75" t="s">
        <v>233</v>
      </c>
      <c r="B228" s="58" t="s">
        <v>201</v>
      </c>
      <c r="C228" s="58" t="s">
        <v>206</v>
      </c>
      <c r="D228" s="58" t="s">
        <v>207</v>
      </c>
      <c r="E228" s="62">
        <v>0.01</v>
      </c>
      <c r="F228" s="61">
        <f>42</f>
        <v>42</v>
      </c>
      <c r="G228" s="121">
        <f t="shared" si="18"/>
        <v>0.42</v>
      </c>
      <c r="H228" s="113">
        <f t="shared" si="19"/>
        <v>0.005</v>
      </c>
      <c r="I228" s="113"/>
      <c r="J228" s="113"/>
      <c r="K228" s="113">
        <f t="shared" si="20"/>
        <v>0.21</v>
      </c>
      <c r="L228" s="114" t="s">
        <v>604</v>
      </c>
      <c r="Y228"/>
    </row>
    <row r="229" spans="1:25" s="11" customFormat="1" ht="13.5">
      <c r="A229" s="75" t="s">
        <v>234</v>
      </c>
      <c r="B229" s="58" t="s">
        <v>201</v>
      </c>
      <c r="C229" s="58" t="s">
        <v>206</v>
      </c>
      <c r="D229" s="58" t="s">
        <v>207</v>
      </c>
      <c r="E229" s="62">
        <v>0.028</v>
      </c>
      <c r="F229" s="61">
        <f>114</f>
        <v>114</v>
      </c>
      <c r="G229" s="121">
        <f t="shared" si="18"/>
        <v>3.192</v>
      </c>
      <c r="H229" s="113">
        <f t="shared" si="19"/>
        <v>0.014</v>
      </c>
      <c r="I229" s="113"/>
      <c r="J229" s="113"/>
      <c r="K229" s="113">
        <f t="shared" si="20"/>
        <v>1.596</v>
      </c>
      <c r="L229" s="114" t="s">
        <v>604</v>
      </c>
      <c r="Y229"/>
    </row>
    <row r="230" spans="1:25" s="11" customFormat="1" ht="13.5">
      <c r="A230" s="75" t="s">
        <v>235</v>
      </c>
      <c r="B230" s="58" t="s">
        <v>201</v>
      </c>
      <c r="C230" s="58" t="s">
        <v>206</v>
      </c>
      <c r="D230" s="58" t="s">
        <v>207</v>
      </c>
      <c r="E230" s="62">
        <v>0.01</v>
      </c>
      <c r="F230" s="61">
        <f>191</f>
        <v>191</v>
      </c>
      <c r="G230" s="121">
        <f t="shared" si="18"/>
        <v>1.9100000000000001</v>
      </c>
      <c r="H230" s="113">
        <f t="shared" si="19"/>
        <v>0.005</v>
      </c>
      <c r="I230" s="113"/>
      <c r="J230" s="113"/>
      <c r="K230" s="113">
        <f t="shared" si="20"/>
        <v>0.9550000000000001</v>
      </c>
      <c r="L230" s="114" t="s">
        <v>604</v>
      </c>
      <c r="Y230"/>
    </row>
    <row r="231" spans="1:25" s="11" customFormat="1" ht="13.5">
      <c r="A231" s="75" t="s">
        <v>236</v>
      </c>
      <c r="B231" s="58" t="s">
        <v>201</v>
      </c>
      <c r="C231" s="58" t="s">
        <v>206</v>
      </c>
      <c r="D231" s="58" t="s">
        <v>207</v>
      </c>
      <c r="E231" s="62">
        <v>0.01</v>
      </c>
      <c r="F231" s="61">
        <f>232</f>
        <v>232</v>
      </c>
      <c r="G231" s="121">
        <f t="shared" si="18"/>
        <v>2.32</v>
      </c>
      <c r="H231" s="113">
        <f t="shared" si="19"/>
        <v>0.005</v>
      </c>
      <c r="I231" s="113"/>
      <c r="J231" s="113"/>
      <c r="K231" s="113">
        <f t="shared" si="20"/>
        <v>1.16</v>
      </c>
      <c r="L231" s="114" t="s">
        <v>604</v>
      </c>
      <c r="Y231"/>
    </row>
    <row r="232" spans="1:25" s="11" customFormat="1" ht="13.5">
      <c r="A232" s="75" t="s">
        <v>237</v>
      </c>
      <c r="B232" s="58" t="s">
        <v>201</v>
      </c>
      <c r="C232" s="58" t="s">
        <v>206</v>
      </c>
      <c r="D232" s="58" t="s">
        <v>207</v>
      </c>
      <c r="E232" s="62">
        <v>0.028</v>
      </c>
      <c r="F232" s="61">
        <f>122</f>
        <v>122</v>
      </c>
      <c r="G232" s="121">
        <f t="shared" si="18"/>
        <v>3.416</v>
      </c>
      <c r="H232" s="113">
        <f t="shared" si="19"/>
        <v>0.014</v>
      </c>
      <c r="I232" s="113"/>
      <c r="J232" s="113"/>
      <c r="K232" s="113">
        <f t="shared" si="20"/>
        <v>1.708</v>
      </c>
      <c r="L232" s="114" t="s">
        <v>604</v>
      </c>
      <c r="Y232"/>
    </row>
    <row r="233" spans="1:25" s="11" customFormat="1" ht="13.5">
      <c r="A233" s="75" t="s">
        <v>238</v>
      </c>
      <c r="B233" s="58" t="s">
        <v>201</v>
      </c>
      <c r="C233" s="58" t="s">
        <v>206</v>
      </c>
      <c r="D233" s="58" t="s">
        <v>207</v>
      </c>
      <c r="E233" s="62">
        <v>0.028</v>
      </c>
      <c r="F233" s="61">
        <f>24</f>
        <v>24</v>
      </c>
      <c r="G233" s="121">
        <f t="shared" si="18"/>
        <v>0.672</v>
      </c>
      <c r="H233" s="113">
        <f t="shared" si="19"/>
        <v>0.014</v>
      </c>
      <c r="I233" s="113"/>
      <c r="J233" s="113"/>
      <c r="K233" s="113">
        <f t="shared" si="20"/>
        <v>0.336</v>
      </c>
      <c r="L233" s="114" t="s">
        <v>604</v>
      </c>
      <c r="Y233"/>
    </row>
    <row r="234" spans="1:25" s="11" customFormat="1" ht="25.5">
      <c r="A234" s="75" t="s">
        <v>239</v>
      </c>
      <c r="B234" s="58" t="s">
        <v>201</v>
      </c>
      <c r="C234" s="58" t="s">
        <v>206</v>
      </c>
      <c r="D234" s="58" t="s">
        <v>207</v>
      </c>
      <c r="E234" s="62">
        <v>0.028</v>
      </c>
      <c r="F234" s="61">
        <f>106</f>
        <v>106</v>
      </c>
      <c r="G234" s="121">
        <f t="shared" si="18"/>
        <v>2.968</v>
      </c>
      <c r="H234" s="113">
        <f t="shared" si="19"/>
        <v>0.014</v>
      </c>
      <c r="I234" s="113"/>
      <c r="J234" s="113"/>
      <c r="K234" s="113">
        <f t="shared" si="20"/>
        <v>1.484</v>
      </c>
      <c r="L234" s="114" t="s">
        <v>604</v>
      </c>
      <c r="Y234"/>
    </row>
    <row r="235" spans="1:25" s="11" customFormat="1" ht="13.5">
      <c r="A235" s="75" t="s">
        <v>240</v>
      </c>
      <c r="B235" s="58" t="s">
        <v>201</v>
      </c>
      <c r="C235" s="58" t="s">
        <v>206</v>
      </c>
      <c r="D235" s="58" t="s">
        <v>207</v>
      </c>
      <c r="E235" s="62">
        <v>0.01</v>
      </c>
      <c r="F235" s="61">
        <f>57+24</f>
        <v>81</v>
      </c>
      <c r="G235" s="121">
        <f t="shared" si="18"/>
        <v>0.81</v>
      </c>
      <c r="H235" s="113">
        <f t="shared" si="19"/>
        <v>0.005</v>
      </c>
      <c r="I235" s="113"/>
      <c r="J235" s="113"/>
      <c r="K235" s="113">
        <f t="shared" si="20"/>
        <v>0.405</v>
      </c>
      <c r="L235" s="114" t="s">
        <v>604</v>
      </c>
      <c r="Y235"/>
    </row>
    <row r="236" spans="1:25" s="11" customFormat="1" ht="13.5">
      <c r="A236" s="75" t="s">
        <v>241</v>
      </c>
      <c r="B236" s="58" t="s">
        <v>201</v>
      </c>
      <c r="C236" s="58" t="s">
        <v>206</v>
      </c>
      <c r="D236" s="58" t="s">
        <v>207</v>
      </c>
      <c r="E236" s="62">
        <v>0.028</v>
      </c>
      <c r="F236" s="61">
        <f>25</f>
        <v>25</v>
      </c>
      <c r="G236" s="121">
        <f t="shared" si="18"/>
        <v>0.7000000000000001</v>
      </c>
      <c r="H236" s="113">
        <f t="shared" si="19"/>
        <v>0.014</v>
      </c>
      <c r="I236" s="113"/>
      <c r="J236" s="113"/>
      <c r="K236" s="113">
        <f t="shared" si="20"/>
        <v>0.35000000000000003</v>
      </c>
      <c r="L236" s="114" t="s">
        <v>604</v>
      </c>
      <c r="Y236"/>
    </row>
    <row r="237" spans="1:25" s="11" customFormat="1" ht="13.5">
      <c r="A237" s="75" t="s">
        <v>242</v>
      </c>
      <c r="B237" s="58" t="s">
        <v>201</v>
      </c>
      <c r="C237" s="58" t="s">
        <v>206</v>
      </c>
      <c r="D237" s="58" t="s">
        <v>207</v>
      </c>
      <c r="E237" s="62">
        <v>0.01</v>
      </c>
      <c r="F237" s="61">
        <f>439+35</f>
        <v>474</v>
      </c>
      <c r="G237" s="121">
        <f t="shared" si="18"/>
        <v>4.74</v>
      </c>
      <c r="H237" s="113">
        <f t="shared" si="19"/>
        <v>0.005</v>
      </c>
      <c r="I237" s="113"/>
      <c r="J237" s="113"/>
      <c r="K237" s="113">
        <f t="shared" si="20"/>
        <v>2.37</v>
      </c>
      <c r="L237" s="114" t="s">
        <v>604</v>
      </c>
      <c r="Y237"/>
    </row>
    <row r="238" spans="1:25" s="11" customFormat="1" ht="13.5">
      <c r="A238" s="75" t="s">
        <v>240</v>
      </c>
      <c r="B238" s="58" t="s">
        <v>201</v>
      </c>
      <c r="C238" s="58" t="s">
        <v>206</v>
      </c>
      <c r="D238" s="58" t="s">
        <v>207</v>
      </c>
      <c r="E238" s="62">
        <v>0.01</v>
      </c>
      <c r="F238" s="61">
        <f>126+57</f>
        <v>183</v>
      </c>
      <c r="G238" s="121">
        <f t="shared" si="18"/>
        <v>1.83</v>
      </c>
      <c r="H238" s="113">
        <f t="shared" si="19"/>
        <v>0.005</v>
      </c>
      <c r="I238" s="113"/>
      <c r="J238" s="113"/>
      <c r="K238" s="113">
        <f t="shared" si="20"/>
        <v>0.915</v>
      </c>
      <c r="L238" s="114" t="s">
        <v>604</v>
      </c>
      <c r="Y238"/>
    </row>
    <row r="239" spans="1:25" s="11" customFormat="1" ht="13.5">
      <c r="A239" s="75" t="s">
        <v>232</v>
      </c>
      <c r="B239" s="58" t="s">
        <v>201</v>
      </c>
      <c r="C239" s="58" t="s">
        <v>206</v>
      </c>
      <c r="D239" s="58" t="s">
        <v>207</v>
      </c>
      <c r="E239" s="62">
        <v>0.03</v>
      </c>
      <c r="F239" s="61">
        <f>77+20</f>
        <v>97</v>
      </c>
      <c r="G239" s="121">
        <f t="shared" si="18"/>
        <v>2.9099999999999997</v>
      </c>
      <c r="H239" s="113">
        <f t="shared" si="19"/>
        <v>0.015</v>
      </c>
      <c r="I239" s="113"/>
      <c r="J239" s="113"/>
      <c r="K239" s="113">
        <f t="shared" si="20"/>
        <v>1.4549999999999998</v>
      </c>
      <c r="L239" s="114" t="s">
        <v>604</v>
      </c>
      <c r="Y239"/>
    </row>
    <row r="240" spans="1:25" s="11" customFormat="1" ht="13.5">
      <c r="A240" s="75" t="s">
        <v>232</v>
      </c>
      <c r="B240" s="58" t="s">
        <v>201</v>
      </c>
      <c r="C240" s="58" t="s">
        <v>206</v>
      </c>
      <c r="D240" s="58" t="s">
        <v>207</v>
      </c>
      <c r="E240" s="62">
        <v>0.01</v>
      </c>
      <c r="F240" s="61">
        <f>579+44</f>
        <v>623</v>
      </c>
      <c r="G240" s="121">
        <f t="shared" si="18"/>
        <v>6.23</v>
      </c>
      <c r="H240" s="113">
        <f t="shared" si="19"/>
        <v>0.005</v>
      </c>
      <c r="I240" s="113"/>
      <c r="J240" s="113"/>
      <c r="K240" s="113">
        <f t="shared" si="20"/>
        <v>3.115</v>
      </c>
      <c r="L240" s="114" t="s">
        <v>604</v>
      </c>
      <c r="Y240"/>
    </row>
    <row r="241" spans="1:25" s="11" customFormat="1" ht="13.5">
      <c r="A241" s="75" t="s">
        <v>243</v>
      </c>
      <c r="B241" s="58" t="s">
        <v>201</v>
      </c>
      <c r="C241" s="58" t="s">
        <v>206</v>
      </c>
      <c r="D241" s="58" t="s">
        <v>207</v>
      </c>
      <c r="E241" s="62">
        <v>0.01</v>
      </c>
      <c r="F241" s="61">
        <f>145+49</f>
        <v>194</v>
      </c>
      <c r="G241" s="121">
        <f t="shared" si="18"/>
        <v>1.94</v>
      </c>
      <c r="H241" s="113">
        <f t="shared" si="19"/>
        <v>0.005</v>
      </c>
      <c r="I241" s="113"/>
      <c r="J241" s="113"/>
      <c r="K241" s="113">
        <f t="shared" si="20"/>
        <v>0.97</v>
      </c>
      <c r="L241" s="114" t="s">
        <v>604</v>
      </c>
      <c r="Y241"/>
    </row>
    <row r="242" spans="1:25" s="11" customFormat="1" ht="13.5">
      <c r="A242" s="75" t="s">
        <v>244</v>
      </c>
      <c r="B242" s="58" t="s">
        <v>201</v>
      </c>
      <c r="C242" s="58" t="s">
        <v>206</v>
      </c>
      <c r="D242" s="58" t="s">
        <v>207</v>
      </c>
      <c r="E242" s="62">
        <v>0.03</v>
      </c>
      <c r="F242" s="61">
        <f>370+42</f>
        <v>412</v>
      </c>
      <c r="G242" s="121">
        <f t="shared" si="18"/>
        <v>12.36</v>
      </c>
      <c r="H242" s="113">
        <f t="shared" si="19"/>
        <v>0.015</v>
      </c>
      <c r="I242" s="113"/>
      <c r="J242" s="113"/>
      <c r="K242" s="113">
        <f t="shared" si="20"/>
        <v>6.18</v>
      </c>
      <c r="L242" s="114" t="s">
        <v>604</v>
      </c>
      <c r="Y242"/>
    </row>
    <row r="243" spans="1:25" s="11" customFormat="1" ht="13.5">
      <c r="A243" s="76" t="s">
        <v>245</v>
      </c>
      <c r="B243" s="58" t="s">
        <v>201</v>
      </c>
      <c r="C243" s="58" t="s">
        <v>206</v>
      </c>
      <c r="D243" s="58" t="s">
        <v>207</v>
      </c>
      <c r="E243" s="62">
        <v>0.01</v>
      </c>
      <c r="F243" s="61">
        <f>24</f>
        <v>24</v>
      </c>
      <c r="G243" s="121">
        <f t="shared" si="18"/>
        <v>0.24</v>
      </c>
      <c r="H243" s="113">
        <f t="shared" si="19"/>
        <v>0.005</v>
      </c>
      <c r="I243" s="113"/>
      <c r="J243" s="113"/>
      <c r="K243" s="113">
        <f t="shared" si="20"/>
        <v>0.12</v>
      </c>
      <c r="L243" s="114" t="s">
        <v>604</v>
      </c>
      <c r="Y243"/>
    </row>
    <row r="244" spans="1:25" s="11" customFormat="1" ht="13.5">
      <c r="A244" s="75" t="s">
        <v>246</v>
      </c>
      <c r="B244" s="58" t="s">
        <v>201</v>
      </c>
      <c r="C244" s="58" t="s">
        <v>206</v>
      </c>
      <c r="D244" s="58" t="s">
        <v>207</v>
      </c>
      <c r="E244" s="62">
        <v>0.01</v>
      </c>
      <c r="F244" s="61">
        <f>18</f>
        <v>18</v>
      </c>
      <c r="G244" s="121">
        <f t="shared" si="18"/>
        <v>0.18</v>
      </c>
      <c r="H244" s="113">
        <f t="shared" si="19"/>
        <v>0.005</v>
      </c>
      <c r="I244" s="113"/>
      <c r="J244" s="113"/>
      <c r="K244" s="113">
        <f t="shared" si="20"/>
        <v>0.09</v>
      </c>
      <c r="L244" s="114" t="s">
        <v>604</v>
      </c>
      <c r="Y244"/>
    </row>
    <row r="245" spans="1:25" s="11" customFormat="1" ht="13.5">
      <c r="A245" s="75" t="s">
        <v>247</v>
      </c>
      <c r="B245" s="58" t="s">
        <v>201</v>
      </c>
      <c r="C245" s="58" t="s">
        <v>206</v>
      </c>
      <c r="D245" s="58" t="s">
        <v>207</v>
      </c>
      <c r="E245" s="62">
        <v>0.01</v>
      </c>
      <c r="F245" s="61">
        <f>39+20</f>
        <v>59</v>
      </c>
      <c r="G245" s="121">
        <f t="shared" si="18"/>
        <v>0.59</v>
      </c>
      <c r="H245" s="113">
        <f t="shared" si="19"/>
        <v>0.005</v>
      </c>
      <c r="I245" s="113"/>
      <c r="J245" s="113"/>
      <c r="K245" s="113">
        <f t="shared" si="20"/>
        <v>0.295</v>
      </c>
      <c r="L245" s="114" t="s">
        <v>604</v>
      </c>
      <c r="Y245"/>
    </row>
    <row r="246" spans="1:25" s="11" customFormat="1" ht="25.5">
      <c r="A246" s="75" t="s">
        <v>251</v>
      </c>
      <c r="B246" s="58" t="s">
        <v>248</v>
      </c>
      <c r="C246" s="58" t="s">
        <v>249</v>
      </c>
      <c r="D246" s="58" t="s">
        <v>250</v>
      </c>
      <c r="E246" s="62">
        <v>4.2</v>
      </c>
      <c r="F246" s="61">
        <f>10</f>
        <v>10</v>
      </c>
      <c r="G246" s="121">
        <f t="shared" si="18"/>
        <v>42</v>
      </c>
      <c r="H246" s="113">
        <f t="shared" si="19"/>
        <v>2.1</v>
      </c>
      <c r="I246" s="113"/>
      <c r="J246" s="113"/>
      <c r="K246" s="113">
        <f t="shared" si="20"/>
        <v>21</v>
      </c>
      <c r="L246" s="114" t="s">
        <v>604</v>
      </c>
      <c r="Y246"/>
    </row>
    <row r="247" spans="1:25" s="11" customFormat="1" ht="25.5">
      <c r="A247" s="75" t="s">
        <v>251</v>
      </c>
      <c r="B247" s="58" t="s">
        <v>248</v>
      </c>
      <c r="C247" s="58" t="s">
        <v>249</v>
      </c>
      <c r="D247" s="58" t="s">
        <v>252</v>
      </c>
      <c r="E247" s="62">
        <v>4.2</v>
      </c>
      <c r="F247" s="61">
        <f>10</f>
        <v>10</v>
      </c>
      <c r="G247" s="121">
        <f t="shared" si="18"/>
        <v>42</v>
      </c>
      <c r="H247" s="113">
        <f t="shared" si="19"/>
        <v>2.1</v>
      </c>
      <c r="I247" s="113"/>
      <c r="J247" s="113"/>
      <c r="K247" s="113">
        <f t="shared" si="20"/>
        <v>21</v>
      </c>
      <c r="L247" s="114" t="s">
        <v>604</v>
      </c>
      <c r="Y247"/>
    </row>
    <row r="248" spans="1:25" s="11" customFormat="1" ht="25.5">
      <c r="A248" s="75" t="s">
        <v>253</v>
      </c>
      <c r="B248" s="58" t="s">
        <v>248</v>
      </c>
      <c r="C248" s="58" t="s">
        <v>249</v>
      </c>
      <c r="D248" s="58" t="s">
        <v>250</v>
      </c>
      <c r="E248" s="62">
        <v>4.8</v>
      </c>
      <c r="F248" s="61">
        <f>8</f>
        <v>8</v>
      </c>
      <c r="G248" s="121">
        <f t="shared" si="18"/>
        <v>38.4</v>
      </c>
      <c r="H248" s="113">
        <f t="shared" si="19"/>
        <v>2.4</v>
      </c>
      <c r="I248" s="113"/>
      <c r="J248" s="113"/>
      <c r="K248" s="113">
        <f t="shared" si="20"/>
        <v>19.2</v>
      </c>
      <c r="L248" s="114" t="s">
        <v>604</v>
      </c>
      <c r="Y248"/>
    </row>
    <row r="249" spans="1:25" s="11" customFormat="1" ht="13.5">
      <c r="A249" s="75" t="s">
        <v>255</v>
      </c>
      <c r="B249" s="58" t="s">
        <v>248</v>
      </c>
      <c r="C249" s="58" t="s">
        <v>254</v>
      </c>
      <c r="D249" s="58" t="s">
        <v>250</v>
      </c>
      <c r="E249" s="62">
        <v>4.2</v>
      </c>
      <c r="F249" s="61">
        <f>10</f>
        <v>10</v>
      </c>
      <c r="G249" s="121">
        <f t="shared" si="18"/>
        <v>42</v>
      </c>
      <c r="H249" s="113">
        <f t="shared" si="19"/>
        <v>2.1</v>
      </c>
      <c r="I249" s="113"/>
      <c r="J249" s="113"/>
      <c r="K249" s="113">
        <f t="shared" si="20"/>
        <v>21</v>
      </c>
      <c r="L249" s="114" t="s">
        <v>604</v>
      </c>
      <c r="Y249"/>
    </row>
    <row r="250" spans="1:25" s="11" customFormat="1" ht="13.5">
      <c r="A250" s="75" t="s">
        <v>255</v>
      </c>
      <c r="B250" s="58" t="s">
        <v>248</v>
      </c>
      <c r="C250" s="58" t="s">
        <v>254</v>
      </c>
      <c r="D250" s="58" t="s">
        <v>252</v>
      </c>
      <c r="E250" s="62">
        <v>4.2</v>
      </c>
      <c r="F250" s="61">
        <f>30</f>
        <v>30</v>
      </c>
      <c r="G250" s="121">
        <f t="shared" si="18"/>
        <v>126</v>
      </c>
      <c r="H250" s="113">
        <f t="shared" si="19"/>
        <v>2.1</v>
      </c>
      <c r="I250" s="113"/>
      <c r="J250" s="113"/>
      <c r="K250" s="113">
        <f t="shared" si="20"/>
        <v>63</v>
      </c>
      <c r="L250" s="114" t="s">
        <v>604</v>
      </c>
      <c r="Y250"/>
    </row>
    <row r="251" spans="1:25" s="11" customFormat="1" ht="13.5">
      <c r="A251" s="77" t="s">
        <v>255</v>
      </c>
      <c r="B251" s="58" t="s">
        <v>248</v>
      </c>
      <c r="C251" s="58" t="s">
        <v>254</v>
      </c>
      <c r="D251" s="58" t="s">
        <v>256</v>
      </c>
      <c r="E251" s="63">
        <v>4.2</v>
      </c>
      <c r="F251" s="61">
        <f>14</f>
        <v>14</v>
      </c>
      <c r="G251" s="121">
        <f t="shared" si="18"/>
        <v>58.800000000000004</v>
      </c>
      <c r="H251" s="113">
        <f t="shared" si="19"/>
        <v>2.1</v>
      </c>
      <c r="I251" s="113"/>
      <c r="J251" s="113"/>
      <c r="K251" s="113">
        <f t="shared" si="20"/>
        <v>29.400000000000002</v>
      </c>
      <c r="L251" s="114" t="s">
        <v>604</v>
      </c>
      <c r="Y251"/>
    </row>
    <row r="252" spans="1:25" s="11" customFormat="1" ht="25.5">
      <c r="A252" s="75" t="s">
        <v>253</v>
      </c>
      <c r="B252" s="58" t="s">
        <v>248</v>
      </c>
      <c r="C252" s="58" t="s">
        <v>249</v>
      </c>
      <c r="D252" s="58" t="s">
        <v>256</v>
      </c>
      <c r="E252" s="62">
        <v>4.8</v>
      </c>
      <c r="F252" s="61">
        <f>10</f>
        <v>10</v>
      </c>
      <c r="G252" s="121">
        <f t="shared" si="18"/>
        <v>48</v>
      </c>
      <c r="H252" s="113">
        <f t="shared" si="19"/>
        <v>2.4</v>
      </c>
      <c r="I252" s="113"/>
      <c r="J252" s="113"/>
      <c r="K252" s="113">
        <f t="shared" si="20"/>
        <v>24</v>
      </c>
      <c r="L252" s="114" t="s">
        <v>604</v>
      </c>
      <c r="Y252"/>
    </row>
    <row r="253" spans="1:25" s="11" customFormat="1" ht="25.5">
      <c r="A253" s="75" t="s">
        <v>257</v>
      </c>
      <c r="B253" s="58" t="s">
        <v>248</v>
      </c>
      <c r="C253" s="58" t="s">
        <v>249</v>
      </c>
      <c r="D253" s="58" t="s">
        <v>256</v>
      </c>
      <c r="E253" s="62">
        <v>6</v>
      </c>
      <c r="F253" s="61">
        <f>60+40</f>
        <v>100</v>
      </c>
      <c r="G253" s="121">
        <f t="shared" si="18"/>
        <v>600</v>
      </c>
      <c r="H253" s="113">
        <f t="shared" si="19"/>
        <v>3</v>
      </c>
      <c r="I253" s="113"/>
      <c r="J253" s="113"/>
      <c r="K253" s="113">
        <f t="shared" si="20"/>
        <v>300</v>
      </c>
      <c r="L253" s="114" t="s">
        <v>604</v>
      </c>
      <c r="Y253"/>
    </row>
    <row r="254" spans="1:25" s="11" customFormat="1" ht="13.5">
      <c r="A254" s="75" t="s">
        <v>259</v>
      </c>
      <c r="B254" s="58" t="s">
        <v>248</v>
      </c>
      <c r="C254" s="58" t="s">
        <v>258</v>
      </c>
      <c r="D254" s="58" t="s">
        <v>250</v>
      </c>
      <c r="E254" s="62">
        <v>8.04</v>
      </c>
      <c r="F254" s="61">
        <f>4</f>
        <v>4</v>
      </c>
      <c r="G254" s="121">
        <f aca="true" t="shared" si="21" ref="G254:G278">F254*E254</f>
        <v>32.16</v>
      </c>
      <c r="H254" s="113">
        <f aca="true" t="shared" si="22" ref="H254:H278">E254*0.5</f>
        <v>4.02</v>
      </c>
      <c r="I254" s="113"/>
      <c r="J254" s="113"/>
      <c r="K254" s="113">
        <f aca="true" t="shared" si="23" ref="K254:K278">H254*F254</f>
        <v>16.08</v>
      </c>
      <c r="L254" s="114" t="s">
        <v>604</v>
      </c>
      <c r="Y254"/>
    </row>
    <row r="255" spans="1:25" s="11" customFormat="1" ht="13.5">
      <c r="A255" s="75" t="s">
        <v>259</v>
      </c>
      <c r="B255" s="58" t="s">
        <v>248</v>
      </c>
      <c r="C255" s="58" t="s">
        <v>258</v>
      </c>
      <c r="D255" s="58" t="s">
        <v>256</v>
      </c>
      <c r="E255" s="62">
        <v>8.04</v>
      </c>
      <c r="F255" s="61">
        <f>3</f>
        <v>3</v>
      </c>
      <c r="G255" s="121">
        <f t="shared" si="21"/>
        <v>24.119999999999997</v>
      </c>
      <c r="H255" s="113">
        <f t="shared" si="22"/>
        <v>4.02</v>
      </c>
      <c r="I255" s="113"/>
      <c r="J255" s="113"/>
      <c r="K255" s="113">
        <f t="shared" si="23"/>
        <v>12.059999999999999</v>
      </c>
      <c r="L255" s="114" t="s">
        <v>604</v>
      </c>
      <c r="Y255"/>
    </row>
    <row r="256" spans="1:25" s="11" customFormat="1" ht="13.5">
      <c r="A256" s="75" t="s">
        <v>262</v>
      </c>
      <c r="B256" s="58" t="s">
        <v>201</v>
      </c>
      <c r="C256" s="58" t="s">
        <v>260</v>
      </c>
      <c r="D256" s="58" t="s">
        <v>261</v>
      </c>
      <c r="E256" s="62">
        <v>2.8</v>
      </c>
      <c r="F256" s="61">
        <v>75</v>
      </c>
      <c r="G256" s="121">
        <f t="shared" si="21"/>
        <v>210</v>
      </c>
      <c r="H256" s="113">
        <f t="shared" si="22"/>
        <v>1.4</v>
      </c>
      <c r="I256" s="113"/>
      <c r="J256" s="113"/>
      <c r="K256" s="113">
        <f t="shared" si="23"/>
        <v>105</v>
      </c>
      <c r="L256" s="114" t="s">
        <v>604</v>
      </c>
      <c r="Y256"/>
    </row>
    <row r="257" spans="1:25" s="11" customFormat="1" ht="13.5">
      <c r="A257" s="75" t="s">
        <v>264</v>
      </c>
      <c r="B257" s="58" t="s">
        <v>201</v>
      </c>
      <c r="C257" s="58" t="s">
        <v>202</v>
      </c>
      <c r="D257" s="58" t="s">
        <v>263</v>
      </c>
      <c r="E257" s="62">
        <v>2.5</v>
      </c>
      <c r="F257" s="61">
        <f>12</f>
        <v>12</v>
      </c>
      <c r="G257" s="121">
        <f t="shared" si="21"/>
        <v>30</v>
      </c>
      <c r="H257" s="113">
        <f t="shared" si="22"/>
        <v>1.25</v>
      </c>
      <c r="I257" s="113"/>
      <c r="J257" s="113"/>
      <c r="K257" s="113">
        <f t="shared" si="23"/>
        <v>15</v>
      </c>
      <c r="L257" s="114" t="s">
        <v>604</v>
      </c>
      <c r="Y257"/>
    </row>
    <row r="258" spans="1:25" s="11" customFormat="1" ht="13.5">
      <c r="A258" s="75" t="s">
        <v>265</v>
      </c>
      <c r="B258" s="58" t="s">
        <v>201</v>
      </c>
      <c r="C258" s="58" t="s">
        <v>202</v>
      </c>
      <c r="D258" s="58" t="s">
        <v>263</v>
      </c>
      <c r="E258" s="62">
        <v>2.5</v>
      </c>
      <c r="F258" s="61">
        <f>17</f>
        <v>17</v>
      </c>
      <c r="G258" s="121">
        <f t="shared" si="21"/>
        <v>42.5</v>
      </c>
      <c r="H258" s="113">
        <f t="shared" si="22"/>
        <v>1.25</v>
      </c>
      <c r="I258" s="113"/>
      <c r="J258" s="113"/>
      <c r="K258" s="113">
        <f t="shared" si="23"/>
        <v>21.25</v>
      </c>
      <c r="L258" s="114" t="s">
        <v>604</v>
      </c>
      <c r="Y258"/>
    </row>
    <row r="259" spans="1:25" s="11" customFormat="1" ht="13.5">
      <c r="A259" s="75" t="s">
        <v>266</v>
      </c>
      <c r="B259" s="58" t="s">
        <v>201</v>
      </c>
      <c r="C259" s="58" t="s">
        <v>202</v>
      </c>
      <c r="D259" s="58" t="s">
        <v>263</v>
      </c>
      <c r="E259" s="62">
        <v>2.5</v>
      </c>
      <c r="F259" s="61">
        <f>60+40+60+27</f>
        <v>187</v>
      </c>
      <c r="G259" s="121">
        <f t="shared" si="21"/>
        <v>467.5</v>
      </c>
      <c r="H259" s="113">
        <f t="shared" si="22"/>
        <v>1.25</v>
      </c>
      <c r="I259" s="113"/>
      <c r="J259" s="113"/>
      <c r="K259" s="113">
        <f t="shared" si="23"/>
        <v>233.75</v>
      </c>
      <c r="L259" s="114" t="s">
        <v>604</v>
      </c>
      <c r="Y259"/>
    </row>
    <row r="260" spans="1:25" s="11" customFormat="1" ht="13.5">
      <c r="A260" s="76" t="s">
        <v>267</v>
      </c>
      <c r="B260" s="58" t="s">
        <v>201</v>
      </c>
      <c r="C260" s="58" t="s">
        <v>202</v>
      </c>
      <c r="D260" s="58" t="s">
        <v>203</v>
      </c>
      <c r="E260" s="60">
        <v>0.73</v>
      </c>
      <c r="F260" s="61">
        <f>68+19</f>
        <v>87</v>
      </c>
      <c r="G260" s="121">
        <f t="shared" si="21"/>
        <v>63.51</v>
      </c>
      <c r="H260" s="113">
        <f t="shared" si="22"/>
        <v>0.365</v>
      </c>
      <c r="I260" s="113"/>
      <c r="J260" s="113"/>
      <c r="K260" s="113">
        <f t="shared" si="23"/>
        <v>31.755</v>
      </c>
      <c r="L260" s="114" t="s">
        <v>604</v>
      </c>
      <c r="Y260"/>
    </row>
    <row r="261" spans="1:25" s="11" customFormat="1" ht="13.5">
      <c r="A261" s="76" t="s">
        <v>268</v>
      </c>
      <c r="B261" s="58" t="s">
        <v>201</v>
      </c>
      <c r="C261" s="58" t="s">
        <v>202</v>
      </c>
      <c r="D261" s="58" t="s">
        <v>203</v>
      </c>
      <c r="E261" s="60">
        <v>1.06</v>
      </c>
      <c r="F261" s="61">
        <f>18</f>
        <v>18</v>
      </c>
      <c r="G261" s="121">
        <f t="shared" si="21"/>
        <v>19.080000000000002</v>
      </c>
      <c r="H261" s="113">
        <f t="shared" si="22"/>
        <v>0.53</v>
      </c>
      <c r="I261" s="113"/>
      <c r="J261" s="113"/>
      <c r="K261" s="113">
        <f t="shared" si="23"/>
        <v>9.540000000000001</v>
      </c>
      <c r="L261" s="114" t="s">
        <v>604</v>
      </c>
      <c r="Y261"/>
    </row>
    <row r="262" spans="1:25" s="11" customFormat="1" ht="13.5">
      <c r="A262" s="76" t="s">
        <v>269</v>
      </c>
      <c r="B262" s="58" t="s">
        <v>201</v>
      </c>
      <c r="C262" s="58" t="s">
        <v>202</v>
      </c>
      <c r="D262" s="58" t="s">
        <v>203</v>
      </c>
      <c r="E262" s="62">
        <v>0.73</v>
      </c>
      <c r="F262" s="61">
        <f>10</f>
        <v>10</v>
      </c>
      <c r="G262" s="121">
        <f t="shared" si="21"/>
        <v>7.3</v>
      </c>
      <c r="H262" s="113">
        <f t="shared" si="22"/>
        <v>0.365</v>
      </c>
      <c r="I262" s="113"/>
      <c r="J262" s="113"/>
      <c r="K262" s="113">
        <f t="shared" si="23"/>
        <v>3.65</v>
      </c>
      <c r="L262" s="114" t="s">
        <v>604</v>
      </c>
      <c r="Y262"/>
    </row>
    <row r="263" spans="1:25" s="11" customFormat="1" ht="13.5">
      <c r="A263" s="77" t="s">
        <v>271</v>
      </c>
      <c r="B263" s="58" t="s">
        <v>201</v>
      </c>
      <c r="C263" s="58" t="s">
        <v>202</v>
      </c>
      <c r="D263" s="58" t="s">
        <v>270</v>
      </c>
      <c r="E263" s="63">
        <v>10.5</v>
      </c>
      <c r="F263" s="61">
        <v>20</v>
      </c>
      <c r="G263" s="121">
        <f t="shared" si="21"/>
        <v>210</v>
      </c>
      <c r="H263" s="113">
        <f t="shared" si="22"/>
        <v>5.25</v>
      </c>
      <c r="I263" s="113"/>
      <c r="J263" s="113"/>
      <c r="K263" s="113">
        <f t="shared" si="23"/>
        <v>105</v>
      </c>
      <c r="L263" s="114" t="s">
        <v>604</v>
      </c>
      <c r="Y263"/>
    </row>
    <row r="264" spans="1:25" s="11" customFormat="1" ht="13.5">
      <c r="A264" s="76" t="s">
        <v>272</v>
      </c>
      <c r="B264" s="58" t="s">
        <v>201</v>
      </c>
      <c r="C264" s="58" t="s">
        <v>202</v>
      </c>
      <c r="D264" s="58" t="s">
        <v>270</v>
      </c>
      <c r="E264" s="60">
        <v>10.5</v>
      </c>
      <c r="F264" s="61">
        <v>57</v>
      </c>
      <c r="G264" s="121">
        <f t="shared" si="21"/>
        <v>598.5</v>
      </c>
      <c r="H264" s="113">
        <f t="shared" si="22"/>
        <v>5.25</v>
      </c>
      <c r="I264" s="113"/>
      <c r="J264" s="113"/>
      <c r="K264" s="113">
        <f t="shared" si="23"/>
        <v>299.25</v>
      </c>
      <c r="L264" s="114" t="s">
        <v>604</v>
      </c>
      <c r="Y264"/>
    </row>
    <row r="265" spans="1:25" s="11" customFormat="1" ht="13.5">
      <c r="A265" s="76" t="s">
        <v>273</v>
      </c>
      <c r="B265" s="58" t="s">
        <v>201</v>
      </c>
      <c r="C265" s="58" t="s">
        <v>202</v>
      </c>
      <c r="D265" s="58" t="s">
        <v>270</v>
      </c>
      <c r="E265" s="60">
        <v>10.5</v>
      </c>
      <c r="F265" s="61">
        <f>19</f>
        <v>19</v>
      </c>
      <c r="G265" s="121">
        <f t="shared" si="21"/>
        <v>199.5</v>
      </c>
      <c r="H265" s="113">
        <f t="shared" si="22"/>
        <v>5.25</v>
      </c>
      <c r="I265" s="113"/>
      <c r="J265" s="113"/>
      <c r="K265" s="113">
        <f t="shared" si="23"/>
        <v>99.75</v>
      </c>
      <c r="L265" s="114" t="s">
        <v>604</v>
      </c>
      <c r="Y265"/>
    </row>
    <row r="266" spans="1:25" s="11" customFormat="1" ht="13.5">
      <c r="A266" s="76" t="s">
        <v>275</v>
      </c>
      <c r="B266" s="58" t="s">
        <v>201</v>
      </c>
      <c r="C266" s="58" t="s">
        <v>260</v>
      </c>
      <c r="D266" s="58" t="s">
        <v>274</v>
      </c>
      <c r="E266" s="60">
        <v>15.4</v>
      </c>
      <c r="F266" s="61">
        <v>2</v>
      </c>
      <c r="G266" s="121">
        <f t="shared" si="21"/>
        <v>30.8</v>
      </c>
      <c r="H266" s="113">
        <f t="shared" si="22"/>
        <v>7.7</v>
      </c>
      <c r="I266" s="113"/>
      <c r="J266" s="113"/>
      <c r="K266" s="113">
        <f t="shared" si="23"/>
        <v>15.4</v>
      </c>
      <c r="L266" s="114" t="s">
        <v>604</v>
      </c>
      <c r="Y266"/>
    </row>
    <row r="267" spans="1:25" s="11" customFormat="1" ht="13.5">
      <c r="A267" s="76" t="s">
        <v>276</v>
      </c>
      <c r="B267" s="58" t="s">
        <v>201</v>
      </c>
      <c r="C267" s="58" t="s">
        <v>260</v>
      </c>
      <c r="D267" s="58" t="s">
        <v>274</v>
      </c>
      <c r="E267" s="62">
        <v>15.4</v>
      </c>
      <c r="F267" s="61">
        <v>1</v>
      </c>
      <c r="G267" s="121">
        <f t="shared" si="21"/>
        <v>15.4</v>
      </c>
      <c r="H267" s="113">
        <f t="shared" si="22"/>
        <v>7.7</v>
      </c>
      <c r="I267" s="113"/>
      <c r="J267" s="113"/>
      <c r="K267" s="113">
        <f t="shared" si="23"/>
        <v>7.7</v>
      </c>
      <c r="L267" s="114" t="s">
        <v>604</v>
      </c>
      <c r="Y267"/>
    </row>
    <row r="268" spans="1:25" s="11" customFormat="1" ht="13.5">
      <c r="A268" s="76" t="s">
        <v>278</v>
      </c>
      <c r="B268" s="58" t="s">
        <v>201</v>
      </c>
      <c r="C268" s="58" t="s">
        <v>260</v>
      </c>
      <c r="D268" s="58" t="s">
        <v>277</v>
      </c>
      <c r="E268" s="60">
        <v>18</v>
      </c>
      <c r="F268" s="61">
        <f>5+6</f>
        <v>11</v>
      </c>
      <c r="G268" s="121">
        <f t="shared" si="21"/>
        <v>198</v>
      </c>
      <c r="H268" s="113">
        <f t="shared" si="22"/>
        <v>9</v>
      </c>
      <c r="I268" s="113"/>
      <c r="J268" s="113"/>
      <c r="K268" s="113">
        <f t="shared" si="23"/>
        <v>99</v>
      </c>
      <c r="L268" s="114" t="s">
        <v>604</v>
      </c>
      <c r="Y268"/>
    </row>
    <row r="269" spans="1:25" s="11" customFormat="1" ht="13.5">
      <c r="A269" s="76" t="s">
        <v>279</v>
      </c>
      <c r="B269" s="58" t="s">
        <v>201</v>
      </c>
      <c r="C269" s="58" t="s">
        <v>260</v>
      </c>
      <c r="D269" s="58" t="s">
        <v>277</v>
      </c>
      <c r="E269" s="60">
        <v>18</v>
      </c>
      <c r="F269" s="61">
        <f>3</f>
        <v>3</v>
      </c>
      <c r="G269" s="121">
        <f t="shared" si="21"/>
        <v>54</v>
      </c>
      <c r="H269" s="113">
        <f t="shared" si="22"/>
        <v>9</v>
      </c>
      <c r="I269" s="113"/>
      <c r="J269" s="113"/>
      <c r="K269" s="113">
        <f t="shared" si="23"/>
        <v>27</v>
      </c>
      <c r="L269" s="114" t="s">
        <v>604</v>
      </c>
      <c r="Y269"/>
    </row>
    <row r="270" spans="1:25" s="11" customFormat="1" ht="13.5">
      <c r="A270" s="76" t="s">
        <v>280</v>
      </c>
      <c r="B270" s="58" t="s">
        <v>201</v>
      </c>
      <c r="C270" s="58" t="s">
        <v>260</v>
      </c>
      <c r="D270" s="58" t="s">
        <v>277</v>
      </c>
      <c r="E270" s="62">
        <v>18</v>
      </c>
      <c r="F270" s="61">
        <f>2</f>
        <v>2</v>
      </c>
      <c r="G270" s="121">
        <f t="shared" si="21"/>
        <v>36</v>
      </c>
      <c r="H270" s="113">
        <f t="shared" si="22"/>
        <v>9</v>
      </c>
      <c r="I270" s="113"/>
      <c r="J270" s="113"/>
      <c r="K270" s="113">
        <f t="shared" si="23"/>
        <v>18</v>
      </c>
      <c r="L270" s="114" t="s">
        <v>604</v>
      </c>
      <c r="Y270"/>
    </row>
    <row r="271" spans="1:25" s="11" customFormat="1" ht="13.5">
      <c r="A271" s="76" t="s">
        <v>283</v>
      </c>
      <c r="B271" s="58" t="s">
        <v>201</v>
      </c>
      <c r="C271" s="58" t="s">
        <v>281</v>
      </c>
      <c r="D271" s="58" t="s">
        <v>282</v>
      </c>
      <c r="E271" s="62">
        <v>0.65</v>
      </c>
      <c r="F271" s="61">
        <f>63</f>
        <v>63</v>
      </c>
      <c r="G271" s="121">
        <f t="shared" si="21"/>
        <v>40.95</v>
      </c>
      <c r="H271" s="113">
        <f t="shared" si="22"/>
        <v>0.325</v>
      </c>
      <c r="I271" s="113"/>
      <c r="J271" s="113"/>
      <c r="K271" s="113">
        <f t="shared" si="23"/>
        <v>20.475</v>
      </c>
      <c r="L271" s="114" t="s">
        <v>604</v>
      </c>
      <c r="Y271"/>
    </row>
    <row r="272" spans="1:25" s="11" customFormat="1" ht="13.5">
      <c r="A272" s="76" t="s">
        <v>284</v>
      </c>
      <c r="B272" s="58" t="s">
        <v>201</v>
      </c>
      <c r="C272" s="58" t="s">
        <v>281</v>
      </c>
      <c r="D272" s="58" t="s">
        <v>282</v>
      </c>
      <c r="E272" s="62">
        <v>0.65</v>
      </c>
      <c r="F272" s="61">
        <f>56</f>
        <v>56</v>
      </c>
      <c r="G272" s="121">
        <f t="shared" si="21"/>
        <v>36.4</v>
      </c>
      <c r="H272" s="113">
        <f t="shared" si="22"/>
        <v>0.325</v>
      </c>
      <c r="I272" s="113"/>
      <c r="J272" s="113"/>
      <c r="K272" s="113">
        <f t="shared" si="23"/>
        <v>18.2</v>
      </c>
      <c r="L272" s="114" t="s">
        <v>604</v>
      </c>
      <c r="Y272"/>
    </row>
    <row r="273" spans="1:25" s="11" customFormat="1" ht="13.5">
      <c r="A273" s="76" t="s">
        <v>285</v>
      </c>
      <c r="B273" s="58" t="s">
        <v>201</v>
      </c>
      <c r="C273" s="58" t="s">
        <v>281</v>
      </c>
      <c r="D273" s="58" t="s">
        <v>282</v>
      </c>
      <c r="E273" s="62">
        <v>0.65</v>
      </c>
      <c r="F273" s="61">
        <f>25</f>
        <v>25</v>
      </c>
      <c r="G273" s="121">
        <f t="shared" si="21"/>
        <v>16.25</v>
      </c>
      <c r="H273" s="113">
        <f t="shared" si="22"/>
        <v>0.325</v>
      </c>
      <c r="I273" s="113"/>
      <c r="J273" s="113"/>
      <c r="K273" s="113">
        <f t="shared" si="23"/>
        <v>8.125</v>
      </c>
      <c r="L273" s="114" t="s">
        <v>604</v>
      </c>
      <c r="Y273"/>
    </row>
    <row r="274" spans="1:25" s="11" customFormat="1" ht="13.5">
      <c r="A274" s="76" t="s">
        <v>288</v>
      </c>
      <c r="B274" s="58" t="s">
        <v>201</v>
      </c>
      <c r="C274" s="58" t="s">
        <v>286</v>
      </c>
      <c r="D274" s="58" t="s">
        <v>287</v>
      </c>
      <c r="E274" s="62">
        <v>6</v>
      </c>
      <c r="F274" s="61">
        <v>2</v>
      </c>
      <c r="G274" s="121">
        <f t="shared" si="21"/>
        <v>12</v>
      </c>
      <c r="H274" s="113">
        <f t="shared" si="22"/>
        <v>3</v>
      </c>
      <c r="I274" s="113"/>
      <c r="J274" s="113"/>
      <c r="K274" s="113">
        <f t="shared" si="23"/>
        <v>6</v>
      </c>
      <c r="L274" s="114" t="s">
        <v>604</v>
      </c>
      <c r="Y274"/>
    </row>
    <row r="275" spans="1:25" s="11" customFormat="1" ht="13.5">
      <c r="A275" s="76" t="s">
        <v>289</v>
      </c>
      <c r="B275" s="58" t="s">
        <v>201</v>
      </c>
      <c r="C275" s="58" t="s">
        <v>286</v>
      </c>
      <c r="D275" s="58" t="s">
        <v>287</v>
      </c>
      <c r="E275" s="62">
        <v>6</v>
      </c>
      <c r="F275" s="61">
        <f>19+37+5</f>
        <v>61</v>
      </c>
      <c r="G275" s="121">
        <f t="shared" si="21"/>
        <v>366</v>
      </c>
      <c r="H275" s="113">
        <f t="shared" si="22"/>
        <v>3</v>
      </c>
      <c r="I275" s="113"/>
      <c r="J275" s="113"/>
      <c r="K275" s="113">
        <f t="shared" si="23"/>
        <v>183</v>
      </c>
      <c r="L275" s="114" t="s">
        <v>604</v>
      </c>
      <c r="Y275"/>
    </row>
    <row r="276" spans="1:25" s="11" customFormat="1" ht="13.5">
      <c r="A276" s="76" t="s">
        <v>291</v>
      </c>
      <c r="B276" s="58" t="s">
        <v>201</v>
      </c>
      <c r="C276" s="58" t="s">
        <v>260</v>
      </c>
      <c r="D276" s="58" t="s">
        <v>290</v>
      </c>
      <c r="E276" s="62">
        <v>0.28</v>
      </c>
      <c r="F276" s="61">
        <f>900</f>
        <v>900</v>
      </c>
      <c r="G276" s="121">
        <f t="shared" si="21"/>
        <v>252.00000000000003</v>
      </c>
      <c r="H276" s="113">
        <f t="shared" si="22"/>
        <v>0.14</v>
      </c>
      <c r="I276" s="113"/>
      <c r="J276" s="113"/>
      <c r="K276" s="113">
        <f t="shared" si="23"/>
        <v>126.00000000000001</v>
      </c>
      <c r="L276" s="114" t="s">
        <v>604</v>
      </c>
      <c r="Y276"/>
    </row>
    <row r="277" spans="1:25" s="11" customFormat="1" ht="13.5">
      <c r="A277" s="76" t="s">
        <v>292</v>
      </c>
      <c r="B277" s="58" t="s">
        <v>201</v>
      </c>
      <c r="C277" s="58" t="s">
        <v>260</v>
      </c>
      <c r="D277" s="58" t="s">
        <v>290</v>
      </c>
      <c r="E277" s="62">
        <v>0.28</v>
      </c>
      <c r="F277" s="61">
        <f>700</f>
        <v>700</v>
      </c>
      <c r="G277" s="121">
        <f t="shared" si="21"/>
        <v>196.00000000000003</v>
      </c>
      <c r="H277" s="113">
        <f t="shared" si="22"/>
        <v>0.14</v>
      </c>
      <c r="I277" s="113"/>
      <c r="J277" s="113"/>
      <c r="K277" s="113">
        <f t="shared" si="23"/>
        <v>98.00000000000001</v>
      </c>
      <c r="L277" s="114" t="s">
        <v>604</v>
      </c>
      <c r="Y277"/>
    </row>
    <row r="278" spans="1:25" s="11" customFormat="1" ht="14.25" thickBot="1">
      <c r="A278" s="86" t="s">
        <v>293</v>
      </c>
      <c r="B278" s="79" t="s">
        <v>201</v>
      </c>
      <c r="C278" s="79" t="s">
        <v>260</v>
      </c>
      <c r="D278" s="79" t="s">
        <v>290</v>
      </c>
      <c r="E278" s="80">
        <v>0.28</v>
      </c>
      <c r="F278" s="81">
        <f>600</f>
        <v>600</v>
      </c>
      <c r="G278" s="122">
        <f t="shared" si="21"/>
        <v>168.00000000000003</v>
      </c>
      <c r="H278" s="113">
        <f t="shared" si="22"/>
        <v>0.14</v>
      </c>
      <c r="I278" s="113"/>
      <c r="J278" s="113"/>
      <c r="K278" s="113">
        <f t="shared" si="23"/>
        <v>84.00000000000001</v>
      </c>
      <c r="L278" s="114" t="s">
        <v>604</v>
      </c>
      <c r="Y278"/>
    </row>
    <row r="279" spans="1:25" s="11" customFormat="1" ht="13.5">
      <c r="A279" s="87" t="s">
        <v>294</v>
      </c>
      <c r="B279" s="83" t="s">
        <v>201</v>
      </c>
      <c r="C279" s="83" t="s">
        <v>260</v>
      </c>
      <c r="D279" s="83" t="s">
        <v>274</v>
      </c>
      <c r="E279" s="84">
        <v>12.6</v>
      </c>
      <c r="F279" s="85">
        <f>4</f>
        <v>4</v>
      </c>
      <c r="G279" s="123">
        <f aca="true" t="shared" si="24" ref="G279:G310">F279*E279</f>
        <v>50.4</v>
      </c>
      <c r="H279" s="113">
        <f aca="true" t="shared" si="25" ref="H279:H310">E279*0.5</f>
        <v>6.3</v>
      </c>
      <c r="I279" s="113"/>
      <c r="J279" s="113"/>
      <c r="K279" s="113">
        <f aca="true" t="shared" si="26" ref="K279:K310">H279*F279</f>
        <v>25.2</v>
      </c>
      <c r="L279" s="114"/>
      <c r="Y279"/>
    </row>
    <row r="280" spans="1:25" s="11" customFormat="1" ht="13.5">
      <c r="A280" s="76" t="s">
        <v>296</v>
      </c>
      <c r="B280" s="58" t="s">
        <v>201</v>
      </c>
      <c r="C280" s="58" t="s">
        <v>206</v>
      </c>
      <c r="D280" s="58" t="s">
        <v>295</v>
      </c>
      <c r="E280" s="62">
        <v>1.85</v>
      </c>
      <c r="F280" s="61">
        <f>6*130</f>
        <v>780</v>
      </c>
      <c r="G280" s="121">
        <f t="shared" si="24"/>
        <v>1443</v>
      </c>
      <c r="H280" s="113">
        <f t="shared" si="25"/>
        <v>0.925</v>
      </c>
      <c r="I280" s="113"/>
      <c r="J280" s="113"/>
      <c r="K280" s="113">
        <f t="shared" si="26"/>
        <v>721.5</v>
      </c>
      <c r="L280" s="114" t="s">
        <v>604</v>
      </c>
      <c r="Y280"/>
    </row>
    <row r="281" spans="1:25" s="11" customFormat="1" ht="13.5">
      <c r="A281" s="76" t="s">
        <v>298</v>
      </c>
      <c r="B281" s="58" t="s">
        <v>201</v>
      </c>
      <c r="C281" s="58" t="s">
        <v>202</v>
      </c>
      <c r="D281" s="58" t="s">
        <v>297</v>
      </c>
      <c r="E281" s="62">
        <v>2.4</v>
      </c>
      <c r="F281" s="61">
        <f>10*43</f>
        <v>430</v>
      </c>
      <c r="G281" s="121">
        <f t="shared" si="24"/>
        <v>1032</v>
      </c>
      <c r="H281" s="113">
        <f t="shared" si="25"/>
        <v>1.2</v>
      </c>
      <c r="I281" s="113"/>
      <c r="J281" s="113"/>
      <c r="K281" s="113">
        <f t="shared" si="26"/>
        <v>516</v>
      </c>
      <c r="L281" s="114" t="s">
        <v>604</v>
      </c>
      <c r="Y281"/>
    </row>
    <row r="282" spans="1:25" s="11" customFormat="1" ht="13.5">
      <c r="A282" s="76" t="s">
        <v>299</v>
      </c>
      <c r="B282" s="58" t="s">
        <v>201</v>
      </c>
      <c r="C282" s="58" t="s">
        <v>206</v>
      </c>
      <c r="D282" s="58" t="s">
        <v>207</v>
      </c>
      <c r="E282" s="62">
        <v>0.016</v>
      </c>
      <c r="F282" s="61">
        <f>502</f>
        <v>502</v>
      </c>
      <c r="G282" s="121">
        <f t="shared" si="24"/>
        <v>8.032</v>
      </c>
      <c r="H282" s="113">
        <f t="shared" si="25"/>
        <v>0.008</v>
      </c>
      <c r="I282" s="113"/>
      <c r="J282" s="113"/>
      <c r="K282" s="113">
        <f t="shared" si="26"/>
        <v>4.016</v>
      </c>
      <c r="L282" s="114" t="s">
        <v>604</v>
      </c>
      <c r="Y282"/>
    </row>
    <row r="283" spans="1:25" s="11" customFormat="1" ht="13.5">
      <c r="A283" s="76" t="s">
        <v>300</v>
      </c>
      <c r="B283" s="58" t="s">
        <v>201</v>
      </c>
      <c r="C283" s="58" t="s">
        <v>206</v>
      </c>
      <c r="D283" s="58" t="s">
        <v>207</v>
      </c>
      <c r="E283" s="62">
        <v>0.016</v>
      </c>
      <c r="F283" s="61">
        <f>181</f>
        <v>181</v>
      </c>
      <c r="G283" s="121">
        <f t="shared" si="24"/>
        <v>2.896</v>
      </c>
      <c r="H283" s="113">
        <f t="shared" si="25"/>
        <v>0.008</v>
      </c>
      <c r="I283" s="113"/>
      <c r="J283" s="113"/>
      <c r="K283" s="113">
        <f t="shared" si="26"/>
        <v>1.448</v>
      </c>
      <c r="L283" s="114" t="s">
        <v>604</v>
      </c>
      <c r="Y283"/>
    </row>
    <row r="284" spans="1:25" s="11" customFormat="1" ht="13.5">
      <c r="A284" s="76" t="s">
        <v>301</v>
      </c>
      <c r="B284" s="58" t="s">
        <v>201</v>
      </c>
      <c r="C284" s="58" t="s">
        <v>206</v>
      </c>
      <c r="D284" s="58" t="s">
        <v>207</v>
      </c>
      <c r="E284" s="62">
        <v>0.016</v>
      </c>
      <c r="F284" s="61">
        <f>1297</f>
        <v>1297</v>
      </c>
      <c r="G284" s="121">
        <f t="shared" si="24"/>
        <v>20.752</v>
      </c>
      <c r="H284" s="113">
        <f t="shared" si="25"/>
        <v>0.008</v>
      </c>
      <c r="I284" s="113"/>
      <c r="J284" s="113"/>
      <c r="K284" s="113">
        <f t="shared" si="26"/>
        <v>10.376</v>
      </c>
      <c r="L284" s="114" t="s">
        <v>604</v>
      </c>
      <c r="Y284"/>
    </row>
    <row r="285" spans="1:25" s="11" customFormat="1" ht="13.5">
      <c r="A285" s="76" t="s">
        <v>302</v>
      </c>
      <c r="B285" s="58" t="s">
        <v>201</v>
      </c>
      <c r="C285" s="58" t="s">
        <v>206</v>
      </c>
      <c r="D285" s="58" t="s">
        <v>207</v>
      </c>
      <c r="E285" s="62">
        <v>0.016</v>
      </c>
      <c r="F285" s="61">
        <f>63</f>
        <v>63</v>
      </c>
      <c r="G285" s="121">
        <f t="shared" si="24"/>
        <v>1.008</v>
      </c>
      <c r="H285" s="113">
        <f t="shared" si="25"/>
        <v>0.008</v>
      </c>
      <c r="I285" s="113"/>
      <c r="J285" s="113"/>
      <c r="K285" s="113">
        <f t="shared" si="26"/>
        <v>0.504</v>
      </c>
      <c r="L285" s="114" t="s">
        <v>604</v>
      </c>
      <c r="Y285"/>
    </row>
    <row r="286" spans="1:25" s="11" customFormat="1" ht="13.5">
      <c r="A286" s="76" t="s">
        <v>303</v>
      </c>
      <c r="B286" s="58" t="s">
        <v>201</v>
      </c>
      <c r="C286" s="58" t="s">
        <v>206</v>
      </c>
      <c r="D286" s="58" t="s">
        <v>207</v>
      </c>
      <c r="E286" s="62">
        <v>0.028</v>
      </c>
      <c r="F286" s="61">
        <f>213</f>
        <v>213</v>
      </c>
      <c r="G286" s="121">
        <f t="shared" si="24"/>
        <v>5.964</v>
      </c>
      <c r="H286" s="113">
        <f t="shared" si="25"/>
        <v>0.014</v>
      </c>
      <c r="I286" s="113"/>
      <c r="J286" s="113"/>
      <c r="K286" s="113">
        <f t="shared" si="26"/>
        <v>2.982</v>
      </c>
      <c r="L286" s="114" t="s">
        <v>604</v>
      </c>
      <c r="Y286"/>
    </row>
    <row r="287" spans="1:25" s="11" customFormat="1" ht="13.5">
      <c r="A287" s="75" t="s">
        <v>304</v>
      </c>
      <c r="B287" s="58" t="s">
        <v>201</v>
      </c>
      <c r="C287" s="58" t="s">
        <v>206</v>
      </c>
      <c r="D287" s="58" t="s">
        <v>207</v>
      </c>
      <c r="E287" s="60">
        <v>0.028</v>
      </c>
      <c r="F287" s="61">
        <f>302</f>
        <v>302</v>
      </c>
      <c r="G287" s="121">
        <f t="shared" si="24"/>
        <v>8.456</v>
      </c>
      <c r="H287" s="113">
        <f t="shared" si="25"/>
        <v>0.014</v>
      </c>
      <c r="I287" s="113"/>
      <c r="J287" s="113"/>
      <c r="K287" s="113">
        <f t="shared" si="26"/>
        <v>4.228</v>
      </c>
      <c r="L287" s="114" t="s">
        <v>604</v>
      </c>
      <c r="Y287"/>
    </row>
    <row r="288" spans="1:25" s="11" customFormat="1" ht="13.5">
      <c r="A288" s="75" t="s">
        <v>305</v>
      </c>
      <c r="B288" s="58" t="s">
        <v>201</v>
      </c>
      <c r="C288" s="58" t="s">
        <v>206</v>
      </c>
      <c r="D288" s="58" t="s">
        <v>207</v>
      </c>
      <c r="E288" s="60">
        <v>0.016</v>
      </c>
      <c r="F288" s="61">
        <f>122+23</f>
        <v>145</v>
      </c>
      <c r="G288" s="121">
        <f t="shared" si="24"/>
        <v>2.32</v>
      </c>
      <c r="H288" s="113">
        <f t="shared" si="25"/>
        <v>0.008</v>
      </c>
      <c r="I288" s="113"/>
      <c r="J288" s="113"/>
      <c r="K288" s="113">
        <f t="shared" si="26"/>
        <v>1.16</v>
      </c>
      <c r="L288" s="114" t="s">
        <v>604</v>
      </c>
      <c r="Y288"/>
    </row>
    <row r="289" spans="1:25" s="11" customFormat="1" ht="13.5">
      <c r="A289" s="75" t="s">
        <v>306</v>
      </c>
      <c r="B289" s="58" t="s">
        <v>201</v>
      </c>
      <c r="C289" s="58" t="s">
        <v>206</v>
      </c>
      <c r="D289" s="58" t="s">
        <v>207</v>
      </c>
      <c r="E289" s="60">
        <v>0.028</v>
      </c>
      <c r="F289" s="61">
        <f>204+148</f>
        <v>352</v>
      </c>
      <c r="G289" s="121">
        <f t="shared" si="24"/>
        <v>9.856</v>
      </c>
      <c r="H289" s="113">
        <f t="shared" si="25"/>
        <v>0.014</v>
      </c>
      <c r="I289" s="113"/>
      <c r="J289" s="113"/>
      <c r="K289" s="113">
        <f t="shared" si="26"/>
        <v>4.928</v>
      </c>
      <c r="L289" s="114" t="s">
        <v>604</v>
      </c>
      <c r="Y289"/>
    </row>
    <row r="290" spans="1:25" s="11" customFormat="1" ht="13.5">
      <c r="A290" s="76" t="s">
        <v>307</v>
      </c>
      <c r="B290" s="58" t="s">
        <v>201</v>
      </c>
      <c r="C290" s="58" t="s">
        <v>206</v>
      </c>
      <c r="D290" s="58" t="s">
        <v>207</v>
      </c>
      <c r="E290" s="62">
        <v>0.016</v>
      </c>
      <c r="F290" s="61">
        <f>430</f>
        <v>430</v>
      </c>
      <c r="G290" s="121">
        <f t="shared" si="24"/>
        <v>6.88</v>
      </c>
      <c r="H290" s="113">
        <f t="shared" si="25"/>
        <v>0.008</v>
      </c>
      <c r="I290" s="113"/>
      <c r="J290" s="113"/>
      <c r="K290" s="113">
        <f t="shared" si="26"/>
        <v>3.44</v>
      </c>
      <c r="L290" s="114" t="s">
        <v>604</v>
      </c>
      <c r="Y290"/>
    </row>
    <row r="291" spans="1:25" s="11" customFormat="1" ht="13.5">
      <c r="A291" s="76" t="s">
        <v>308</v>
      </c>
      <c r="B291" s="58" t="s">
        <v>201</v>
      </c>
      <c r="C291" s="58" t="s">
        <v>206</v>
      </c>
      <c r="D291" s="58" t="s">
        <v>207</v>
      </c>
      <c r="E291" s="62">
        <v>0.028</v>
      </c>
      <c r="F291" s="61">
        <f>215</f>
        <v>215</v>
      </c>
      <c r="G291" s="121">
        <f t="shared" si="24"/>
        <v>6.0200000000000005</v>
      </c>
      <c r="H291" s="113">
        <f t="shared" si="25"/>
        <v>0.014</v>
      </c>
      <c r="I291" s="113"/>
      <c r="J291" s="113"/>
      <c r="K291" s="113">
        <f t="shared" si="26"/>
        <v>3.0100000000000002</v>
      </c>
      <c r="L291" s="114" t="s">
        <v>604</v>
      </c>
      <c r="Y291"/>
    </row>
    <row r="292" spans="1:25" s="11" customFormat="1" ht="13.5">
      <c r="A292" s="76" t="s">
        <v>310</v>
      </c>
      <c r="B292" s="58" t="s">
        <v>162</v>
      </c>
      <c r="C292" s="58" t="s">
        <v>309</v>
      </c>
      <c r="D292" s="58" t="s">
        <v>186</v>
      </c>
      <c r="E292" s="62">
        <v>1.5</v>
      </c>
      <c r="F292" s="61">
        <f>7</f>
        <v>7</v>
      </c>
      <c r="G292" s="121">
        <f t="shared" si="24"/>
        <v>10.5</v>
      </c>
      <c r="H292" s="113">
        <f t="shared" si="25"/>
        <v>0.75</v>
      </c>
      <c r="I292" s="113"/>
      <c r="J292" s="113"/>
      <c r="K292" s="113">
        <f t="shared" si="26"/>
        <v>5.25</v>
      </c>
      <c r="L292" s="114" t="s">
        <v>604</v>
      </c>
      <c r="Y292"/>
    </row>
    <row r="293" spans="1:25" s="11" customFormat="1" ht="13.5">
      <c r="A293" s="76" t="s">
        <v>311</v>
      </c>
      <c r="B293" s="58" t="s">
        <v>162</v>
      </c>
      <c r="C293" s="58" t="s">
        <v>309</v>
      </c>
      <c r="D293" s="58" t="s">
        <v>186</v>
      </c>
      <c r="E293" s="62">
        <v>1.5</v>
      </c>
      <c r="F293" s="61">
        <f>3</f>
        <v>3</v>
      </c>
      <c r="G293" s="121">
        <f t="shared" si="24"/>
        <v>4.5</v>
      </c>
      <c r="H293" s="113">
        <f t="shared" si="25"/>
        <v>0.75</v>
      </c>
      <c r="I293" s="113"/>
      <c r="J293" s="113"/>
      <c r="K293" s="113">
        <f t="shared" si="26"/>
        <v>2.25</v>
      </c>
      <c r="L293" s="114" t="s">
        <v>604</v>
      </c>
      <c r="Y293"/>
    </row>
    <row r="294" spans="1:25" s="11" customFormat="1" ht="13.5">
      <c r="A294" s="76" t="s">
        <v>312</v>
      </c>
      <c r="B294" s="58" t="s">
        <v>162</v>
      </c>
      <c r="C294" s="58" t="s">
        <v>309</v>
      </c>
      <c r="D294" s="58" t="s">
        <v>186</v>
      </c>
      <c r="E294" s="62">
        <v>1.5</v>
      </c>
      <c r="F294" s="61">
        <f>2</f>
        <v>2</v>
      </c>
      <c r="G294" s="121">
        <f t="shared" si="24"/>
        <v>3</v>
      </c>
      <c r="H294" s="113">
        <f t="shared" si="25"/>
        <v>0.75</v>
      </c>
      <c r="I294" s="113"/>
      <c r="J294" s="113"/>
      <c r="K294" s="113">
        <f t="shared" si="26"/>
        <v>1.5</v>
      </c>
      <c r="L294" s="114" t="s">
        <v>604</v>
      </c>
      <c r="Y294"/>
    </row>
    <row r="295" spans="1:25" s="11" customFormat="1" ht="13.5">
      <c r="A295" s="76" t="s">
        <v>314</v>
      </c>
      <c r="B295" s="58" t="s">
        <v>201</v>
      </c>
      <c r="C295" s="58" t="s">
        <v>286</v>
      </c>
      <c r="D295" s="58" t="s">
        <v>313</v>
      </c>
      <c r="E295" s="62">
        <v>1.5</v>
      </c>
      <c r="F295" s="61">
        <f>52</f>
        <v>52</v>
      </c>
      <c r="G295" s="121">
        <f t="shared" si="24"/>
        <v>78</v>
      </c>
      <c r="H295" s="113">
        <f t="shared" si="25"/>
        <v>0.75</v>
      </c>
      <c r="I295" s="113"/>
      <c r="J295" s="113"/>
      <c r="K295" s="113">
        <f t="shared" si="26"/>
        <v>39</v>
      </c>
      <c r="L295" s="114" t="s">
        <v>604</v>
      </c>
      <c r="Y295"/>
    </row>
    <row r="296" spans="1:25" s="11" customFormat="1" ht="13.5">
      <c r="A296" s="76" t="s">
        <v>315</v>
      </c>
      <c r="B296" s="58" t="s">
        <v>201</v>
      </c>
      <c r="C296" s="58" t="s">
        <v>286</v>
      </c>
      <c r="D296" s="58" t="s">
        <v>313</v>
      </c>
      <c r="E296" s="62">
        <v>1.5</v>
      </c>
      <c r="F296" s="61">
        <f>62</f>
        <v>62</v>
      </c>
      <c r="G296" s="121">
        <f t="shared" si="24"/>
        <v>93</v>
      </c>
      <c r="H296" s="113">
        <f t="shared" si="25"/>
        <v>0.75</v>
      </c>
      <c r="I296" s="113"/>
      <c r="J296" s="113"/>
      <c r="K296" s="113">
        <f t="shared" si="26"/>
        <v>46.5</v>
      </c>
      <c r="L296" s="114" t="s">
        <v>604</v>
      </c>
      <c r="Y296"/>
    </row>
    <row r="297" spans="1:25" s="11" customFormat="1" ht="13.5">
      <c r="A297" s="76" t="s">
        <v>316</v>
      </c>
      <c r="B297" s="58" t="s">
        <v>201</v>
      </c>
      <c r="C297" s="58" t="s">
        <v>286</v>
      </c>
      <c r="D297" s="58" t="s">
        <v>313</v>
      </c>
      <c r="E297" s="62">
        <v>1.5</v>
      </c>
      <c r="F297" s="61">
        <f>26</f>
        <v>26</v>
      </c>
      <c r="G297" s="121">
        <f t="shared" si="24"/>
        <v>39</v>
      </c>
      <c r="H297" s="113">
        <f t="shared" si="25"/>
        <v>0.75</v>
      </c>
      <c r="I297" s="113"/>
      <c r="J297" s="113"/>
      <c r="K297" s="113">
        <f t="shared" si="26"/>
        <v>19.5</v>
      </c>
      <c r="L297" s="114" t="s">
        <v>604</v>
      </c>
      <c r="Y297"/>
    </row>
    <row r="298" spans="1:25" s="11" customFormat="1" ht="13.5">
      <c r="A298" s="76" t="s">
        <v>318</v>
      </c>
      <c r="B298" s="58" t="s">
        <v>201</v>
      </c>
      <c r="C298" s="58" t="s">
        <v>202</v>
      </c>
      <c r="D298" s="58" t="s">
        <v>317</v>
      </c>
      <c r="E298" s="62">
        <v>1.06</v>
      </c>
      <c r="F298" s="61">
        <v>9</v>
      </c>
      <c r="G298" s="121">
        <f t="shared" si="24"/>
        <v>9.540000000000001</v>
      </c>
      <c r="H298" s="113">
        <f t="shared" si="25"/>
        <v>0.53</v>
      </c>
      <c r="I298" s="113"/>
      <c r="J298" s="113"/>
      <c r="K298" s="113">
        <f t="shared" si="26"/>
        <v>4.7700000000000005</v>
      </c>
      <c r="L298" s="114" t="s">
        <v>604</v>
      </c>
      <c r="Y298"/>
    </row>
    <row r="299" spans="1:25" s="11" customFormat="1" ht="13.5">
      <c r="A299" s="76" t="s">
        <v>319</v>
      </c>
      <c r="B299" s="58" t="s">
        <v>201</v>
      </c>
      <c r="C299" s="58" t="s">
        <v>202</v>
      </c>
      <c r="D299" s="58" t="s">
        <v>317</v>
      </c>
      <c r="E299" s="62">
        <v>1.06</v>
      </c>
      <c r="F299" s="61">
        <v>12</v>
      </c>
      <c r="G299" s="121">
        <f t="shared" si="24"/>
        <v>12.72</v>
      </c>
      <c r="H299" s="113">
        <f t="shared" si="25"/>
        <v>0.53</v>
      </c>
      <c r="I299" s="113"/>
      <c r="J299" s="113"/>
      <c r="K299" s="113">
        <f t="shared" si="26"/>
        <v>6.36</v>
      </c>
      <c r="L299" s="114" t="s">
        <v>604</v>
      </c>
      <c r="Y299"/>
    </row>
    <row r="300" spans="1:25" s="11" customFormat="1" ht="13.5">
      <c r="A300" s="76" t="s">
        <v>320</v>
      </c>
      <c r="B300" s="58" t="s">
        <v>201</v>
      </c>
      <c r="C300" s="58" t="s">
        <v>260</v>
      </c>
      <c r="D300" s="58" t="s">
        <v>261</v>
      </c>
      <c r="E300" s="60">
        <v>2.8</v>
      </c>
      <c r="F300" s="61">
        <f>94+100</f>
        <v>194</v>
      </c>
      <c r="G300" s="121">
        <f t="shared" si="24"/>
        <v>543.1999999999999</v>
      </c>
      <c r="H300" s="113">
        <f t="shared" si="25"/>
        <v>1.4</v>
      </c>
      <c r="I300" s="113"/>
      <c r="J300" s="113"/>
      <c r="K300" s="113">
        <f t="shared" si="26"/>
        <v>271.59999999999997</v>
      </c>
      <c r="L300" s="114" t="s">
        <v>604</v>
      </c>
      <c r="Y300"/>
    </row>
    <row r="301" spans="1:25" s="11" customFormat="1" ht="13.5">
      <c r="A301" s="76" t="s">
        <v>321</v>
      </c>
      <c r="B301" s="58" t="s">
        <v>201</v>
      </c>
      <c r="C301" s="58" t="s">
        <v>281</v>
      </c>
      <c r="D301" s="58" t="s">
        <v>282</v>
      </c>
      <c r="E301" s="62">
        <v>0.58</v>
      </c>
      <c r="F301" s="61">
        <f>79</f>
        <v>79</v>
      </c>
      <c r="G301" s="121">
        <f t="shared" si="24"/>
        <v>45.82</v>
      </c>
      <c r="H301" s="113">
        <f t="shared" si="25"/>
        <v>0.29</v>
      </c>
      <c r="I301" s="113"/>
      <c r="J301" s="113"/>
      <c r="K301" s="113">
        <f t="shared" si="26"/>
        <v>22.91</v>
      </c>
      <c r="L301" s="114" t="s">
        <v>604</v>
      </c>
      <c r="Y301"/>
    </row>
    <row r="302" spans="1:25" s="11" customFormat="1" ht="13.5">
      <c r="A302" s="76" t="s">
        <v>322</v>
      </c>
      <c r="B302" s="58" t="s">
        <v>201</v>
      </c>
      <c r="C302" s="58" t="s">
        <v>281</v>
      </c>
      <c r="D302" s="58" t="s">
        <v>282</v>
      </c>
      <c r="E302" s="62">
        <v>0.65</v>
      </c>
      <c r="F302" s="61">
        <f>44</f>
        <v>44</v>
      </c>
      <c r="G302" s="121">
        <f t="shared" si="24"/>
        <v>28.6</v>
      </c>
      <c r="H302" s="113">
        <f t="shared" si="25"/>
        <v>0.325</v>
      </c>
      <c r="I302" s="113"/>
      <c r="J302" s="113"/>
      <c r="K302" s="113">
        <f t="shared" si="26"/>
        <v>14.3</v>
      </c>
      <c r="L302" s="114" t="s">
        <v>604</v>
      </c>
      <c r="Y302"/>
    </row>
    <row r="303" spans="1:25" s="11" customFormat="1" ht="13.5">
      <c r="A303" s="76" t="s">
        <v>323</v>
      </c>
      <c r="B303" s="58" t="s">
        <v>201</v>
      </c>
      <c r="C303" s="58" t="s">
        <v>202</v>
      </c>
      <c r="D303" s="58" t="s">
        <v>203</v>
      </c>
      <c r="E303" s="62">
        <v>0.8</v>
      </c>
      <c r="F303" s="61">
        <v>1</v>
      </c>
      <c r="G303" s="121">
        <f t="shared" si="24"/>
        <v>0.8</v>
      </c>
      <c r="H303" s="113">
        <f t="shared" si="25"/>
        <v>0.4</v>
      </c>
      <c r="I303" s="113"/>
      <c r="J303" s="113"/>
      <c r="K303" s="113">
        <f t="shared" si="26"/>
        <v>0.4</v>
      </c>
      <c r="L303" s="114" t="s">
        <v>604</v>
      </c>
      <c r="Y303"/>
    </row>
    <row r="304" spans="1:25" s="11" customFormat="1" ht="13.5">
      <c r="A304" s="76" t="s">
        <v>324</v>
      </c>
      <c r="B304" s="58" t="s">
        <v>201</v>
      </c>
      <c r="C304" s="58" t="s">
        <v>202</v>
      </c>
      <c r="D304" s="58" t="s">
        <v>203</v>
      </c>
      <c r="E304" s="62">
        <v>0.8</v>
      </c>
      <c r="F304" s="61">
        <v>1</v>
      </c>
      <c r="G304" s="121">
        <f t="shared" si="24"/>
        <v>0.8</v>
      </c>
      <c r="H304" s="113">
        <f t="shared" si="25"/>
        <v>0.4</v>
      </c>
      <c r="I304" s="113"/>
      <c r="J304" s="113"/>
      <c r="K304" s="113">
        <f t="shared" si="26"/>
        <v>0.4</v>
      </c>
      <c r="L304" s="114" t="s">
        <v>604</v>
      </c>
      <c r="Y304"/>
    </row>
    <row r="305" spans="1:25" s="11" customFormat="1" ht="13.5">
      <c r="A305" s="76" t="s">
        <v>325</v>
      </c>
      <c r="B305" s="58" t="s">
        <v>201</v>
      </c>
      <c r="C305" s="58" t="s">
        <v>202</v>
      </c>
      <c r="D305" s="58" t="s">
        <v>203</v>
      </c>
      <c r="E305" s="62">
        <v>0.8</v>
      </c>
      <c r="F305" s="61">
        <v>1</v>
      </c>
      <c r="G305" s="121">
        <f t="shared" si="24"/>
        <v>0.8</v>
      </c>
      <c r="H305" s="113">
        <f t="shared" si="25"/>
        <v>0.4</v>
      </c>
      <c r="I305" s="113"/>
      <c r="J305" s="113"/>
      <c r="K305" s="113">
        <f t="shared" si="26"/>
        <v>0.4</v>
      </c>
      <c r="L305" s="114" t="s">
        <v>604</v>
      </c>
      <c r="Y305"/>
    </row>
    <row r="306" spans="1:25" s="11" customFormat="1" ht="13.5">
      <c r="A306" s="76" t="s">
        <v>326</v>
      </c>
      <c r="B306" s="58" t="s">
        <v>201</v>
      </c>
      <c r="C306" s="58" t="s">
        <v>202</v>
      </c>
      <c r="D306" s="58" t="s">
        <v>203</v>
      </c>
      <c r="E306" s="62">
        <v>0.8</v>
      </c>
      <c r="F306" s="61">
        <v>1</v>
      </c>
      <c r="G306" s="121">
        <f t="shared" si="24"/>
        <v>0.8</v>
      </c>
      <c r="H306" s="113">
        <f t="shared" si="25"/>
        <v>0.4</v>
      </c>
      <c r="I306" s="113"/>
      <c r="J306" s="113"/>
      <c r="K306" s="113">
        <f t="shared" si="26"/>
        <v>0.4</v>
      </c>
      <c r="L306" s="114" t="s">
        <v>604</v>
      </c>
      <c r="Y306"/>
    </row>
    <row r="307" spans="1:25" s="11" customFormat="1" ht="13.5">
      <c r="A307" s="76" t="s">
        <v>327</v>
      </c>
      <c r="B307" s="58" t="s">
        <v>201</v>
      </c>
      <c r="C307" s="58" t="s">
        <v>202</v>
      </c>
      <c r="D307" s="58" t="s">
        <v>317</v>
      </c>
      <c r="E307" s="62">
        <v>1.1</v>
      </c>
      <c r="F307" s="61">
        <f>3</f>
        <v>3</v>
      </c>
      <c r="G307" s="121">
        <f t="shared" si="24"/>
        <v>3.3000000000000003</v>
      </c>
      <c r="H307" s="113">
        <f t="shared" si="25"/>
        <v>0.55</v>
      </c>
      <c r="I307" s="113"/>
      <c r="J307" s="113"/>
      <c r="K307" s="113">
        <f t="shared" si="26"/>
        <v>1.6500000000000001</v>
      </c>
      <c r="L307" s="114" t="s">
        <v>604</v>
      </c>
      <c r="Y307"/>
    </row>
    <row r="308" spans="1:25" s="11" customFormat="1" ht="13.5">
      <c r="A308" s="76" t="s">
        <v>328</v>
      </c>
      <c r="B308" s="58" t="s">
        <v>201</v>
      </c>
      <c r="C308" s="58" t="s">
        <v>202</v>
      </c>
      <c r="D308" s="58" t="s">
        <v>317</v>
      </c>
      <c r="E308" s="62">
        <v>1.1</v>
      </c>
      <c r="F308" s="61">
        <f>1</f>
        <v>1</v>
      </c>
      <c r="G308" s="121">
        <f t="shared" si="24"/>
        <v>1.1</v>
      </c>
      <c r="H308" s="113">
        <f t="shared" si="25"/>
        <v>0.55</v>
      </c>
      <c r="I308" s="113"/>
      <c r="J308" s="113"/>
      <c r="K308" s="113">
        <f t="shared" si="26"/>
        <v>0.55</v>
      </c>
      <c r="L308" s="114" t="s">
        <v>604</v>
      </c>
      <c r="Y308"/>
    </row>
    <row r="309" spans="1:25" s="11" customFormat="1" ht="13.5">
      <c r="A309" s="76" t="s">
        <v>329</v>
      </c>
      <c r="B309" s="58" t="s">
        <v>201</v>
      </c>
      <c r="C309" s="58" t="s">
        <v>202</v>
      </c>
      <c r="D309" s="58" t="s">
        <v>317</v>
      </c>
      <c r="E309" s="62">
        <v>1.1</v>
      </c>
      <c r="F309" s="61">
        <f>26</f>
        <v>26</v>
      </c>
      <c r="G309" s="121">
        <f t="shared" si="24"/>
        <v>28.6</v>
      </c>
      <c r="H309" s="113">
        <f t="shared" si="25"/>
        <v>0.55</v>
      </c>
      <c r="I309" s="113"/>
      <c r="J309" s="113"/>
      <c r="K309" s="113">
        <f t="shared" si="26"/>
        <v>14.3</v>
      </c>
      <c r="L309" s="114" t="s">
        <v>604</v>
      </c>
      <c r="Y309"/>
    </row>
    <row r="310" spans="1:25" s="11" customFormat="1" ht="13.5">
      <c r="A310" s="76" t="s">
        <v>330</v>
      </c>
      <c r="B310" s="58" t="s">
        <v>201</v>
      </c>
      <c r="C310" s="58" t="s">
        <v>202</v>
      </c>
      <c r="D310" s="58" t="s">
        <v>317</v>
      </c>
      <c r="E310" s="62">
        <v>1.1</v>
      </c>
      <c r="F310" s="61">
        <f>23</f>
        <v>23</v>
      </c>
      <c r="G310" s="121">
        <f t="shared" si="24"/>
        <v>25.3</v>
      </c>
      <c r="H310" s="113">
        <f t="shared" si="25"/>
        <v>0.55</v>
      </c>
      <c r="I310" s="113"/>
      <c r="J310" s="113"/>
      <c r="K310" s="113">
        <f t="shared" si="26"/>
        <v>12.65</v>
      </c>
      <c r="L310" s="114" t="s">
        <v>604</v>
      </c>
      <c r="Y310"/>
    </row>
    <row r="311" spans="1:25" s="11" customFormat="1" ht="13.5">
      <c r="A311" s="76" t="s">
        <v>331</v>
      </c>
      <c r="B311" s="58" t="s">
        <v>201</v>
      </c>
      <c r="C311" s="58" t="s">
        <v>202</v>
      </c>
      <c r="D311" s="58" t="s">
        <v>317</v>
      </c>
      <c r="E311" s="62">
        <v>1.1</v>
      </c>
      <c r="F311" s="61">
        <f>1</f>
        <v>1</v>
      </c>
      <c r="G311" s="121">
        <f aca="true" t="shared" si="27" ref="G311:G341">F311*E311</f>
        <v>1.1</v>
      </c>
      <c r="H311" s="113">
        <f aca="true" t="shared" si="28" ref="H311:H341">E311*0.5</f>
        <v>0.55</v>
      </c>
      <c r="I311" s="113"/>
      <c r="J311" s="113"/>
      <c r="K311" s="113">
        <f aca="true" t="shared" si="29" ref="K311:K341">H311*F311</f>
        <v>0.55</v>
      </c>
      <c r="L311" s="114" t="s">
        <v>604</v>
      </c>
      <c r="Y311"/>
    </row>
    <row r="312" spans="1:25" s="11" customFormat="1" ht="13.5">
      <c r="A312" s="77" t="s">
        <v>333</v>
      </c>
      <c r="B312" s="58" t="s">
        <v>201</v>
      </c>
      <c r="C312" s="58" t="s">
        <v>202</v>
      </c>
      <c r="D312" s="58" t="s">
        <v>332</v>
      </c>
      <c r="E312" s="63">
        <v>2.15</v>
      </c>
      <c r="F312" s="61">
        <v>45</v>
      </c>
      <c r="G312" s="121">
        <f t="shared" si="27"/>
        <v>96.75</v>
      </c>
      <c r="H312" s="113">
        <f t="shared" si="28"/>
        <v>1.075</v>
      </c>
      <c r="I312" s="113"/>
      <c r="J312" s="113"/>
      <c r="K312" s="113">
        <f t="shared" si="29"/>
        <v>48.375</v>
      </c>
      <c r="L312" s="114" t="s">
        <v>604</v>
      </c>
      <c r="Y312"/>
    </row>
    <row r="313" spans="1:25" s="11" customFormat="1" ht="13.5">
      <c r="A313" s="76" t="s">
        <v>335</v>
      </c>
      <c r="B313" s="58" t="s">
        <v>248</v>
      </c>
      <c r="C313" s="58" t="s">
        <v>334</v>
      </c>
      <c r="D313" s="58" t="s">
        <v>250</v>
      </c>
      <c r="E313" s="62">
        <v>5</v>
      </c>
      <c r="F313" s="61">
        <f>21</f>
        <v>21</v>
      </c>
      <c r="G313" s="121">
        <f t="shared" si="27"/>
        <v>105</v>
      </c>
      <c r="H313" s="113">
        <f t="shared" si="28"/>
        <v>2.5</v>
      </c>
      <c r="I313" s="113"/>
      <c r="J313" s="113"/>
      <c r="K313" s="113">
        <f t="shared" si="29"/>
        <v>52.5</v>
      </c>
      <c r="L313" s="114" t="s">
        <v>604</v>
      </c>
      <c r="Y313"/>
    </row>
    <row r="314" spans="1:25" s="11" customFormat="1" ht="13.5">
      <c r="A314" s="76" t="s">
        <v>335</v>
      </c>
      <c r="B314" s="58" t="s">
        <v>248</v>
      </c>
      <c r="C314" s="58" t="s">
        <v>334</v>
      </c>
      <c r="D314" s="58" t="s">
        <v>336</v>
      </c>
      <c r="E314" s="62">
        <v>5</v>
      </c>
      <c r="F314" s="61">
        <f>1</f>
        <v>1</v>
      </c>
      <c r="G314" s="121">
        <f t="shared" si="27"/>
        <v>5</v>
      </c>
      <c r="H314" s="113">
        <f t="shared" si="28"/>
        <v>2.5</v>
      </c>
      <c r="I314" s="113"/>
      <c r="J314" s="113"/>
      <c r="K314" s="113">
        <f t="shared" si="29"/>
        <v>2.5</v>
      </c>
      <c r="L314" s="114" t="s">
        <v>604</v>
      </c>
      <c r="Y314"/>
    </row>
    <row r="315" spans="1:25" s="11" customFormat="1" ht="13.5">
      <c r="A315" s="76" t="s">
        <v>335</v>
      </c>
      <c r="B315" s="58" t="s">
        <v>248</v>
      </c>
      <c r="C315" s="58" t="s">
        <v>334</v>
      </c>
      <c r="D315" s="58" t="s">
        <v>337</v>
      </c>
      <c r="E315" s="62">
        <v>5</v>
      </c>
      <c r="F315" s="61">
        <f>4</f>
        <v>4</v>
      </c>
      <c r="G315" s="121">
        <f t="shared" si="27"/>
        <v>20</v>
      </c>
      <c r="H315" s="113">
        <f t="shared" si="28"/>
        <v>2.5</v>
      </c>
      <c r="I315" s="113"/>
      <c r="J315" s="113"/>
      <c r="K315" s="113">
        <f t="shared" si="29"/>
        <v>10</v>
      </c>
      <c r="L315" s="114" t="s">
        <v>604</v>
      </c>
      <c r="Y315"/>
    </row>
    <row r="316" spans="1:25" s="11" customFormat="1" ht="13.5">
      <c r="A316" s="76" t="s">
        <v>335</v>
      </c>
      <c r="B316" s="58" t="s">
        <v>248</v>
      </c>
      <c r="C316" s="58" t="s">
        <v>334</v>
      </c>
      <c r="D316" s="58" t="s">
        <v>338</v>
      </c>
      <c r="E316" s="62">
        <v>5</v>
      </c>
      <c r="F316" s="61">
        <f>31</f>
        <v>31</v>
      </c>
      <c r="G316" s="121">
        <f t="shared" si="27"/>
        <v>155</v>
      </c>
      <c r="H316" s="113">
        <f t="shared" si="28"/>
        <v>2.5</v>
      </c>
      <c r="I316" s="113"/>
      <c r="J316" s="113"/>
      <c r="K316" s="113">
        <f t="shared" si="29"/>
        <v>77.5</v>
      </c>
      <c r="L316" s="114" t="s">
        <v>604</v>
      </c>
      <c r="Y316"/>
    </row>
    <row r="317" spans="1:25" s="11" customFormat="1" ht="13.5">
      <c r="A317" s="76" t="s">
        <v>335</v>
      </c>
      <c r="B317" s="58" t="s">
        <v>248</v>
      </c>
      <c r="C317" s="58" t="s">
        <v>334</v>
      </c>
      <c r="D317" s="58" t="s">
        <v>339</v>
      </c>
      <c r="E317" s="62">
        <v>5</v>
      </c>
      <c r="F317" s="61">
        <f>2</f>
        <v>2</v>
      </c>
      <c r="G317" s="121">
        <f t="shared" si="27"/>
        <v>10</v>
      </c>
      <c r="H317" s="113">
        <f t="shared" si="28"/>
        <v>2.5</v>
      </c>
      <c r="I317" s="113"/>
      <c r="J317" s="113"/>
      <c r="K317" s="113">
        <f t="shared" si="29"/>
        <v>5</v>
      </c>
      <c r="L317" s="114" t="s">
        <v>604</v>
      </c>
      <c r="Y317"/>
    </row>
    <row r="318" spans="1:25" s="11" customFormat="1" ht="13.5">
      <c r="A318" s="76" t="s">
        <v>335</v>
      </c>
      <c r="B318" s="58" t="s">
        <v>248</v>
      </c>
      <c r="C318" s="58" t="s">
        <v>334</v>
      </c>
      <c r="D318" s="58" t="s">
        <v>340</v>
      </c>
      <c r="E318" s="62">
        <v>5</v>
      </c>
      <c r="F318" s="61">
        <f>9</f>
        <v>9</v>
      </c>
      <c r="G318" s="121">
        <f t="shared" si="27"/>
        <v>45</v>
      </c>
      <c r="H318" s="113">
        <f t="shared" si="28"/>
        <v>2.5</v>
      </c>
      <c r="I318" s="113"/>
      <c r="J318" s="113"/>
      <c r="K318" s="113">
        <f t="shared" si="29"/>
        <v>22.5</v>
      </c>
      <c r="L318" s="114" t="s">
        <v>604</v>
      </c>
      <c r="Y318"/>
    </row>
    <row r="319" spans="1:25" s="11" customFormat="1" ht="13.5">
      <c r="A319" s="76" t="s">
        <v>342</v>
      </c>
      <c r="B319" s="58" t="s">
        <v>248</v>
      </c>
      <c r="C319" s="58" t="s">
        <v>341</v>
      </c>
      <c r="D319" s="58" t="s">
        <v>336</v>
      </c>
      <c r="E319" s="62">
        <v>7</v>
      </c>
      <c r="F319" s="61">
        <f>2</f>
        <v>2</v>
      </c>
      <c r="G319" s="121">
        <f t="shared" si="27"/>
        <v>14</v>
      </c>
      <c r="H319" s="113">
        <f t="shared" si="28"/>
        <v>3.5</v>
      </c>
      <c r="I319" s="113"/>
      <c r="J319" s="113"/>
      <c r="K319" s="113">
        <f t="shared" si="29"/>
        <v>7</v>
      </c>
      <c r="L319" s="114" t="s">
        <v>604</v>
      </c>
      <c r="Y319"/>
    </row>
    <row r="320" spans="1:25" s="11" customFormat="1" ht="13.5">
      <c r="A320" s="76" t="s">
        <v>342</v>
      </c>
      <c r="B320" s="58" t="s">
        <v>248</v>
      </c>
      <c r="C320" s="58" t="s">
        <v>341</v>
      </c>
      <c r="D320" s="58" t="s">
        <v>340</v>
      </c>
      <c r="E320" s="62">
        <v>7</v>
      </c>
      <c r="F320" s="61">
        <f>1</f>
        <v>1</v>
      </c>
      <c r="G320" s="121">
        <f t="shared" si="27"/>
        <v>7</v>
      </c>
      <c r="H320" s="113">
        <f t="shared" si="28"/>
        <v>3.5</v>
      </c>
      <c r="I320" s="113"/>
      <c r="J320" s="113"/>
      <c r="K320" s="113">
        <f t="shared" si="29"/>
        <v>3.5</v>
      </c>
      <c r="L320" s="114" t="s">
        <v>604</v>
      </c>
      <c r="Y320"/>
    </row>
    <row r="321" spans="1:25" s="11" customFormat="1" ht="13.5">
      <c r="A321" s="76" t="s">
        <v>343</v>
      </c>
      <c r="B321" s="58" t="s">
        <v>248</v>
      </c>
      <c r="C321" s="58" t="s">
        <v>341</v>
      </c>
      <c r="D321" s="58" t="s">
        <v>250</v>
      </c>
      <c r="E321" s="62">
        <v>6</v>
      </c>
      <c r="F321" s="61">
        <f>12</f>
        <v>12</v>
      </c>
      <c r="G321" s="121">
        <f t="shared" si="27"/>
        <v>72</v>
      </c>
      <c r="H321" s="113">
        <f t="shared" si="28"/>
        <v>3</v>
      </c>
      <c r="I321" s="113"/>
      <c r="J321" s="113"/>
      <c r="K321" s="113">
        <f t="shared" si="29"/>
        <v>36</v>
      </c>
      <c r="L321" s="114" t="s">
        <v>604</v>
      </c>
      <c r="Y321"/>
    </row>
    <row r="322" spans="1:25" s="11" customFormat="1" ht="13.5">
      <c r="A322" s="76" t="s">
        <v>343</v>
      </c>
      <c r="B322" s="58" t="s">
        <v>248</v>
      </c>
      <c r="C322" s="58" t="s">
        <v>341</v>
      </c>
      <c r="D322" s="58" t="s">
        <v>252</v>
      </c>
      <c r="E322" s="62">
        <v>6</v>
      </c>
      <c r="F322" s="61">
        <f>6</f>
        <v>6</v>
      </c>
      <c r="G322" s="121">
        <f t="shared" si="27"/>
        <v>36</v>
      </c>
      <c r="H322" s="113">
        <f t="shared" si="28"/>
        <v>3</v>
      </c>
      <c r="I322" s="113"/>
      <c r="J322" s="113"/>
      <c r="K322" s="113">
        <f t="shared" si="29"/>
        <v>18</v>
      </c>
      <c r="L322" s="114" t="s">
        <v>604</v>
      </c>
      <c r="Y322"/>
    </row>
    <row r="323" spans="1:25" s="11" customFormat="1" ht="13.5">
      <c r="A323" s="76" t="s">
        <v>343</v>
      </c>
      <c r="B323" s="58" t="s">
        <v>248</v>
      </c>
      <c r="C323" s="58" t="s">
        <v>341</v>
      </c>
      <c r="D323" s="58" t="s">
        <v>256</v>
      </c>
      <c r="E323" s="62">
        <v>6</v>
      </c>
      <c r="F323" s="61">
        <f>9</f>
        <v>9</v>
      </c>
      <c r="G323" s="121">
        <f t="shared" si="27"/>
        <v>54</v>
      </c>
      <c r="H323" s="113">
        <f t="shared" si="28"/>
        <v>3</v>
      </c>
      <c r="I323" s="113"/>
      <c r="J323" s="113"/>
      <c r="K323" s="113">
        <f t="shared" si="29"/>
        <v>27</v>
      </c>
      <c r="L323" s="114" t="s">
        <v>604</v>
      </c>
      <c r="Y323"/>
    </row>
    <row r="324" spans="1:25" s="11" customFormat="1" ht="13.5">
      <c r="A324" s="76" t="s">
        <v>343</v>
      </c>
      <c r="B324" s="58" t="s">
        <v>248</v>
      </c>
      <c r="C324" s="58" t="s">
        <v>341</v>
      </c>
      <c r="D324" s="58" t="s">
        <v>336</v>
      </c>
      <c r="E324" s="62">
        <v>6</v>
      </c>
      <c r="F324" s="61">
        <f>3</f>
        <v>3</v>
      </c>
      <c r="G324" s="121">
        <f t="shared" si="27"/>
        <v>18</v>
      </c>
      <c r="H324" s="113">
        <f t="shared" si="28"/>
        <v>3</v>
      </c>
      <c r="I324" s="113"/>
      <c r="J324" s="113"/>
      <c r="K324" s="113">
        <f t="shared" si="29"/>
        <v>9</v>
      </c>
      <c r="L324" s="114" t="s">
        <v>604</v>
      </c>
      <c r="Y324"/>
    </row>
    <row r="325" spans="1:25" s="11" customFormat="1" ht="13.5">
      <c r="A325" s="76" t="s">
        <v>343</v>
      </c>
      <c r="B325" s="58" t="s">
        <v>248</v>
      </c>
      <c r="C325" s="58" t="s">
        <v>341</v>
      </c>
      <c r="D325" s="58" t="s">
        <v>344</v>
      </c>
      <c r="E325" s="62">
        <v>6</v>
      </c>
      <c r="F325" s="61">
        <f>20</f>
        <v>20</v>
      </c>
      <c r="G325" s="121">
        <f t="shared" si="27"/>
        <v>120</v>
      </c>
      <c r="H325" s="113">
        <f t="shared" si="28"/>
        <v>3</v>
      </c>
      <c r="I325" s="113"/>
      <c r="J325" s="113"/>
      <c r="K325" s="113">
        <f t="shared" si="29"/>
        <v>60</v>
      </c>
      <c r="L325" s="114" t="s">
        <v>604</v>
      </c>
      <c r="Y325"/>
    </row>
    <row r="326" spans="1:25" s="11" customFormat="1" ht="13.5">
      <c r="A326" s="76" t="s">
        <v>343</v>
      </c>
      <c r="B326" s="58" t="s">
        <v>248</v>
      </c>
      <c r="C326" s="58" t="s">
        <v>341</v>
      </c>
      <c r="D326" s="58" t="s">
        <v>337</v>
      </c>
      <c r="E326" s="62">
        <v>6</v>
      </c>
      <c r="F326" s="61">
        <f>5</f>
        <v>5</v>
      </c>
      <c r="G326" s="121">
        <f t="shared" si="27"/>
        <v>30</v>
      </c>
      <c r="H326" s="113">
        <f t="shared" si="28"/>
        <v>3</v>
      </c>
      <c r="I326" s="113"/>
      <c r="J326" s="113"/>
      <c r="K326" s="113">
        <f t="shared" si="29"/>
        <v>15</v>
      </c>
      <c r="L326" s="114" t="s">
        <v>604</v>
      </c>
      <c r="Y326"/>
    </row>
    <row r="327" spans="1:25" s="11" customFormat="1" ht="13.5">
      <c r="A327" s="76" t="s">
        <v>343</v>
      </c>
      <c r="B327" s="58" t="s">
        <v>248</v>
      </c>
      <c r="C327" s="58" t="s">
        <v>341</v>
      </c>
      <c r="D327" s="58" t="s">
        <v>345</v>
      </c>
      <c r="E327" s="62">
        <v>6</v>
      </c>
      <c r="F327" s="61">
        <f>15</f>
        <v>15</v>
      </c>
      <c r="G327" s="121">
        <f t="shared" si="27"/>
        <v>90</v>
      </c>
      <c r="H327" s="113">
        <f t="shared" si="28"/>
        <v>3</v>
      </c>
      <c r="I327" s="113"/>
      <c r="J327" s="113"/>
      <c r="K327" s="113">
        <f t="shared" si="29"/>
        <v>45</v>
      </c>
      <c r="L327" s="114" t="s">
        <v>604</v>
      </c>
      <c r="Y327"/>
    </row>
    <row r="328" spans="1:25" s="11" customFormat="1" ht="13.5">
      <c r="A328" s="76" t="s">
        <v>343</v>
      </c>
      <c r="B328" s="58" t="s">
        <v>248</v>
      </c>
      <c r="C328" s="58" t="s">
        <v>341</v>
      </c>
      <c r="D328" s="58" t="s">
        <v>346</v>
      </c>
      <c r="E328" s="62">
        <v>6</v>
      </c>
      <c r="F328" s="61">
        <f>3</f>
        <v>3</v>
      </c>
      <c r="G328" s="121">
        <f t="shared" si="27"/>
        <v>18</v>
      </c>
      <c r="H328" s="113">
        <f t="shared" si="28"/>
        <v>3</v>
      </c>
      <c r="I328" s="113"/>
      <c r="J328" s="113"/>
      <c r="K328" s="113">
        <f t="shared" si="29"/>
        <v>9</v>
      </c>
      <c r="L328" s="114" t="s">
        <v>604</v>
      </c>
      <c r="Y328"/>
    </row>
    <row r="329" spans="1:25" s="11" customFormat="1" ht="13.5">
      <c r="A329" s="76" t="s">
        <v>349</v>
      </c>
      <c r="B329" s="58" t="s">
        <v>248</v>
      </c>
      <c r="C329" s="58" t="s">
        <v>347</v>
      </c>
      <c r="D329" s="58" t="s">
        <v>348</v>
      </c>
      <c r="E329" s="62">
        <v>18.42</v>
      </c>
      <c r="F329" s="61">
        <f>2</f>
        <v>2</v>
      </c>
      <c r="G329" s="121">
        <f t="shared" si="27"/>
        <v>36.84</v>
      </c>
      <c r="H329" s="113">
        <f t="shared" si="28"/>
        <v>9.21</v>
      </c>
      <c r="I329" s="113"/>
      <c r="J329" s="113"/>
      <c r="K329" s="113">
        <f t="shared" si="29"/>
        <v>18.42</v>
      </c>
      <c r="L329" s="114" t="s">
        <v>604</v>
      </c>
      <c r="Y329"/>
    </row>
    <row r="330" spans="1:25" s="11" customFormat="1" ht="13.5">
      <c r="A330" s="76" t="s">
        <v>351</v>
      </c>
      <c r="B330" s="58" t="s">
        <v>201</v>
      </c>
      <c r="C330" s="58" t="s">
        <v>206</v>
      </c>
      <c r="D330" s="58" t="s">
        <v>350</v>
      </c>
      <c r="E330" s="62">
        <v>1.72</v>
      </c>
      <c r="F330" s="61">
        <f>313</f>
        <v>313</v>
      </c>
      <c r="G330" s="121">
        <f t="shared" si="27"/>
        <v>538.36</v>
      </c>
      <c r="H330" s="113">
        <f t="shared" si="28"/>
        <v>0.86</v>
      </c>
      <c r="I330" s="113"/>
      <c r="J330" s="113"/>
      <c r="K330" s="113">
        <f t="shared" si="29"/>
        <v>269.18</v>
      </c>
      <c r="L330" s="114" t="s">
        <v>604</v>
      </c>
      <c r="Y330"/>
    </row>
    <row r="331" spans="1:25" s="11" customFormat="1" ht="13.5">
      <c r="A331" s="76" t="s">
        <v>352</v>
      </c>
      <c r="B331" s="58" t="s">
        <v>201</v>
      </c>
      <c r="C331" s="58" t="s">
        <v>206</v>
      </c>
      <c r="D331" s="58" t="s">
        <v>350</v>
      </c>
      <c r="E331" s="62">
        <v>1.72</v>
      </c>
      <c r="F331" s="61">
        <f>125</f>
        <v>125</v>
      </c>
      <c r="G331" s="121">
        <f t="shared" si="27"/>
        <v>215</v>
      </c>
      <c r="H331" s="113">
        <f t="shared" si="28"/>
        <v>0.86</v>
      </c>
      <c r="I331" s="113"/>
      <c r="J331" s="113"/>
      <c r="K331" s="113">
        <f t="shared" si="29"/>
        <v>107.5</v>
      </c>
      <c r="L331" s="114" t="s">
        <v>604</v>
      </c>
      <c r="Y331"/>
    </row>
    <row r="332" spans="1:25" s="11" customFormat="1" ht="13.5">
      <c r="A332" s="76" t="s">
        <v>353</v>
      </c>
      <c r="B332" s="58" t="s">
        <v>201</v>
      </c>
      <c r="C332" s="58" t="s">
        <v>260</v>
      </c>
      <c r="D332" s="58" t="s">
        <v>277</v>
      </c>
      <c r="E332" s="62">
        <v>6</v>
      </c>
      <c r="F332" s="61">
        <f>4</f>
        <v>4</v>
      </c>
      <c r="G332" s="121">
        <f t="shared" si="27"/>
        <v>24</v>
      </c>
      <c r="H332" s="113">
        <f t="shared" si="28"/>
        <v>3</v>
      </c>
      <c r="I332" s="113"/>
      <c r="J332" s="113"/>
      <c r="K332" s="113">
        <f t="shared" si="29"/>
        <v>12</v>
      </c>
      <c r="L332" s="114" t="s">
        <v>604</v>
      </c>
      <c r="Y332"/>
    </row>
    <row r="333" spans="1:25" s="11" customFormat="1" ht="13.5">
      <c r="A333" s="76" t="s">
        <v>354</v>
      </c>
      <c r="B333" s="58" t="s">
        <v>201</v>
      </c>
      <c r="C333" s="58" t="s">
        <v>260</v>
      </c>
      <c r="D333" s="58" t="s">
        <v>277</v>
      </c>
      <c r="E333" s="62">
        <v>6</v>
      </c>
      <c r="F333" s="61">
        <f>5</f>
        <v>5</v>
      </c>
      <c r="G333" s="121">
        <f t="shared" si="27"/>
        <v>30</v>
      </c>
      <c r="H333" s="113">
        <f t="shared" si="28"/>
        <v>3</v>
      </c>
      <c r="I333" s="113"/>
      <c r="J333" s="113"/>
      <c r="K333" s="113">
        <f t="shared" si="29"/>
        <v>15</v>
      </c>
      <c r="L333" s="114" t="s">
        <v>604</v>
      </c>
      <c r="Y333"/>
    </row>
    <row r="334" spans="1:25" s="11" customFormat="1" ht="13.5">
      <c r="A334" s="76" t="s">
        <v>355</v>
      </c>
      <c r="B334" s="58" t="s">
        <v>201</v>
      </c>
      <c r="C334" s="58" t="s">
        <v>260</v>
      </c>
      <c r="D334" s="58" t="s">
        <v>277</v>
      </c>
      <c r="E334" s="62">
        <v>6</v>
      </c>
      <c r="F334" s="61">
        <f>7</f>
        <v>7</v>
      </c>
      <c r="G334" s="121">
        <f t="shared" si="27"/>
        <v>42</v>
      </c>
      <c r="H334" s="113">
        <f t="shared" si="28"/>
        <v>3</v>
      </c>
      <c r="I334" s="113"/>
      <c r="J334" s="113"/>
      <c r="K334" s="113">
        <f t="shared" si="29"/>
        <v>21</v>
      </c>
      <c r="L334" s="114" t="s">
        <v>604</v>
      </c>
      <c r="Y334"/>
    </row>
    <row r="335" spans="1:25" s="11" customFormat="1" ht="13.5">
      <c r="A335" s="76" t="s">
        <v>356</v>
      </c>
      <c r="B335" s="58" t="s">
        <v>201</v>
      </c>
      <c r="C335" s="58" t="s">
        <v>260</v>
      </c>
      <c r="D335" s="58" t="s">
        <v>277</v>
      </c>
      <c r="E335" s="62">
        <v>6</v>
      </c>
      <c r="F335" s="61">
        <f>3</f>
        <v>3</v>
      </c>
      <c r="G335" s="121">
        <f t="shared" si="27"/>
        <v>18</v>
      </c>
      <c r="H335" s="113">
        <f t="shared" si="28"/>
        <v>3</v>
      </c>
      <c r="I335" s="113"/>
      <c r="J335" s="113"/>
      <c r="K335" s="113">
        <f t="shared" si="29"/>
        <v>9</v>
      </c>
      <c r="L335" s="114" t="s">
        <v>604</v>
      </c>
      <c r="Y335"/>
    </row>
    <row r="336" spans="1:25" s="11" customFormat="1" ht="13.5">
      <c r="A336" s="76" t="s">
        <v>357</v>
      </c>
      <c r="B336" s="58" t="s">
        <v>201</v>
      </c>
      <c r="C336" s="58" t="s">
        <v>260</v>
      </c>
      <c r="D336" s="58" t="s">
        <v>277</v>
      </c>
      <c r="E336" s="62">
        <v>6</v>
      </c>
      <c r="F336" s="61">
        <f>6</f>
        <v>6</v>
      </c>
      <c r="G336" s="121">
        <f t="shared" si="27"/>
        <v>36</v>
      </c>
      <c r="H336" s="113">
        <f t="shared" si="28"/>
        <v>3</v>
      </c>
      <c r="I336" s="113"/>
      <c r="J336" s="113"/>
      <c r="K336" s="113">
        <f t="shared" si="29"/>
        <v>18</v>
      </c>
      <c r="L336" s="114" t="s">
        <v>604</v>
      </c>
      <c r="Y336"/>
    </row>
    <row r="337" spans="1:25" s="11" customFormat="1" ht="13.5">
      <c r="A337" s="76" t="s">
        <v>358</v>
      </c>
      <c r="B337" s="58" t="s">
        <v>201</v>
      </c>
      <c r="C337" s="58" t="s">
        <v>260</v>
      </c>
      <c r="D337" s="58" t="s">
        <v>277</v>
      </c>
      <c r="E337" s="62">
        <v>6</v>
      </c>
      <c r="F337" s="61">
        <v>3</v>
      </c>
      <c r="G337" s="121">
        <f t="shared" si="27"/>
        <v>18</v>
      </c>
      <c r="H337" s="113">
        <f t="shared" si="28"/>
        <v>3</v>
      </c>
      <c r="I337" s="113"/>
      <c r="J337" s="113"/>
      <c r="K337" s="113">
        <f t="shared" si="29"/>
        <v>9</v>
      </c>
      <c r="L337" s="114" t="s">
        <v>604</v>
      </c>
      <c r="Y337"/>
    </row>
    <row r="338" spans="1:25" s="11" customFormat="1" ht="13.5">
      <c r="A338" s="76" t="s">
        <v>359</v>
      </c>
      <c r="B338" s="58" t="s">
        <v>201</v>
      </c>
      <c r="C338" s="58" t="s">
        <v>260</v>
      </c>
      <c r="D338" s="58" t="s">
        <v>277</v>
      </c>
      <c r="E338" s="62">
        <v>18</v>
      </c>
      <c r="F338" s="61">
        <f>1</f>
        <v>1</v>
      </c>
      <c r="G338" s="121">
        <f t="shared" si="27"/>
        <v>18</v>
      </c>
      <c r="H338" s="113">
        <f t="shared" si="28"/>
        <v>9</v>
      </c>
      <c r="I338" s="113"/>
      <c r="J338" s="113"/>
      <c r="K338" s="113">
        <f t="shared" si="29"/>
        <v>9</v>
      </c>
      <c r="L338" s="114" t="s">
        <v>604</v>
      </c>
      <c r="Y338"/>
    </row>
    <row r="339" spans="1:25" s="11" customFormat="1" ht="13.5">
      <c r="A339" s="76" t="s">
        <v>360</v>
      </c>
      <c r="B339" s="58" t="s">
        <v>201</v>
      </c>
      <c r="C339" s="58" t="s">
        <v>260</v>
      </c>
      <c r="D339" s="58" t="s">
        <v>277</v>
      </c>
      <c r="E339" s="60">
        <v>18</v>
      </c>
      <c r="F339" s="61">
        <f>3</f>
        <v>3</v>
      </c>
      <c r="G339" s="121">
        <f t="shared" si="27"/>
        <v>54</v>
      </c>
      <c r="H339" s="113">
        <f t="shared" si="28"/>
        <v>9</v>
      </c>
      <c r="I339" s="113"/>
      <c r="J339" s="113"/>
      <c r="K339" s="113">
        <f t="shared" si="29"/>
        <v>27</v>
      </c>
      <c r="L339" s="114" t="s">
        <v>604</v>
      </c>
      <c r="Y339"/>
    </row>
    <row r="340" spans="1:25" s="11" customFormat="1" ht="13.5">
      <c r="A340" s="76" t="s">
        <v>362</v>
      </c>
      <c r="B340" s="64" t="s">
        <v>201</v>
      </c>
      <c r="C340" s="65" t="s">
        <v>260</v>
      </c>
      <c r="D340" s="64" t="s">
        <v>361</v>
      </c>
      <c r="E340" s="62">
        <v>3.8</v>
      </c>
      <c r="F340" s="61">
        <f>50+100</f>
        <v>150</v>
      </c>
      <c r="G340" s="121">
        <f t="shared" si="27"/>
        <v>570</v>
      </c>
      <c r="H340" s="113">
        <f t="shared" si="28"/>
        <v>1.9</v>
      </c>
      <c r="I340" s="113"/>
      <c r="J340" s="113"/>
      <c r="K340" s="113">
        <f t="shared" si="29"/>
        <v>285</v>
      </c>
      <c r="L340" s="114" t="s">
        <v>604</v>
      </c>
      <c r="Y340"/>
    </row>
    <row r="341" spans="1:25" s="11" customFormat="1" ht="13.5">
      <c r="A341" s="76" t="s">
        <v>363</v>
      </c>
      <c r="B341" s="64" t="s">
        <v>201</v>
      </c>
      <c r="C341" s="65" t="s">
        <v>260</v>
      </c>
      <c r="D341" s="64" t="s">
        <v>361</v>
      </c>
      <c r="E341" s="62">
        <v>3.8</v>
      </c>
      <c r="F341" s="61">
        <f>100+50</f>
        <v>150</v>
      </c>
      <c r="G341" s="121">
        <f t="shared" si="27"/>
        <v>570</v>
      </c>
      <c r="H341" s="113">
        <f t="shared" si="28"/>
        <v>1.9</v>
      </c>
      <c r="I341" s="113"/>
      <c r="J341" s="113"/>
      <c r="K341" s="113">
        <f t="shared" si="29"/>
        <v>285</v>
      </c>
      <c r="L341" s="114" t="s">
        <v>604</v>
      </c>
      <c r="Y341"/>
    </row>
    <row r="342" spans="1:25" s="11" customFormat="1" ht="13.5">
      <c r="A342" s="76" t="s">
        <v>364</v>
      </c>
      <c r="B342" s="64" t="s">
        <v>201</v>
      </c>
      <c r="C342" s="65" t="s">
        <v>260</v>
      </c>
      <c r="D342" s="64" t="s">
        <v>361</v>
      </c>
      <c r="E342" s="62">
        <v>3.8</v>
      </c>
      <c r="F342" s="61">
        <f>100+50</f>
        <v>150</v>
      </c>
      <c r="G342" s="121">
        <f aca="true" t="shared" si="30" ref="G342:G373">F342*E342</f>
        <v>570</v>
      </c>
      <c r="H342" s="113">
        <f aca="true" t="shared" si="31" ref="H342:H373">E342*0.5</f>
        <v>1.9</v>
      </c>
      <c r="I342" s="113"/>
      <c r="J342" s="113"/>
      <c r="K342" s="113">
        <f aca="true" t="shared" si="32" ref="K342:K373">H342*F342</f>
        <v>285</v>
      </c>
      <c r="L342" s="114"/>
      <c r="Y342"/>
    </row>
    <row r="343" spans="1:25" s="11" customFormat="1" ht="13.5">
      <c r="A343" s="76" t="s">
        <v>365</v>
      </c>
      <c r="B343" s="64" t="s">
        <v>201</v>
      </c>
      <c r="C343" s="65" t="s">
        <v>260</v>
      </c>
      <c r="D343" s="64" t="s">
        <v>361</v>
      </c>
      <c r="E343" s="62">
        <v>3.8</v>
      </c>
      <c r="F343" s="61">
        <f>100+50</f>
        <v>150</v>
      </c>
      <c r="G343" s="121">
        <f t="shared" si="30"/>
        <v>570</v>
      </c>
      <c r="H343" s="113">
        <f t="shared" si="31"/>
        <v>1.9</v>
      </c>
      <c r="I343" s="113"/>
      <c r="J343" s="113"/>
      <c r="K343" s="113">
        <f t="shared" si="32"/>
        <v>285</v>
      </c>
      <c r="L343" s="114" t="s">
        <v>604</v>
      </c>
      <c r="Y343"/>
    </row>
    <row r="344" spans="1:25" s="11" customFormat="1" ht="13.5">
      <c r="A344" s="76" t="s">
        <v>366</v>
      </c>
      <c r="B344" s="64" t="s">
        <v>201</v>
      </c>
      <c r="C344" s="65" t="s">
        <v>260</v>
      </c>
      <c r="D344" s="64" t="s">
        <v>361</v>
      </c>
      <c r="E344" s="62">
        <v>3.8</v>
      </c>
      <c r="F344" s="61">
        <f>100+28</f>
        <v>128</v>
      </c>
      <c r="G344" s="121">
        <f t="shared" si="30"/>
        <v>486.4</v>
      </c>
      <c r="H344" s="113">
        <f t="shared" si="31"/>
        <v>1.9</v>
      </c>
      <c r="I344" s="113"/>
      <c r="J344" s="113"/>
      <c r="K344" s="113">
        <f t="shared" si="32"/>
        <v>243.2</v>
      </c>
      <c r="L344" s="114" t="s">
        <v>604</v>
      </c>
      <c r="Y344"/>
    </row>
    <row r="345" spans="1:25" s="11" customFormat="1" ht="13.5">
      <c r="A345" s="76" t="s">
        <v>367</v>
      </c>
      <c r="B345" s="64" t="s">
        <v>201</v>
      </c>
      <c r="C345" s="65" t="s">
        <v>260</v>
      </c>
      <c r="D345" s="64" t="s">
        <v>361</v>
      </c>
      <c r="E345" s="62">
        <v>3.8</v>
      </c>
      <c r="F345" s="61">
        <f>50+100</f>
        <v>150</v>
      </c>
      <c r="G345" s="121">
        <f t="shared" si="30"/>
        <v>570</v>
      </c>
      <c r="H345" s="113">
        <f t="shared" si="31"/>
        <v>1.9</v>
      </c>
      <c r="I345" s="113"/>
      <c r="J345" s="113"/>
      <c r="K345" s="113">
        <f t="shared" si="32"/>
        <v>285</v>
      </c>
      <c r="L345" s="114" t="s">
        <v>604</v>
      </c>
      <c r="Y345"/>
    </row>
    <row r="346" spans="1:25" s="11" customFormat="1" ht="13.5">
      <c r="A346" s="76" t="s">
        <v>368</v>
      </c>
      <c r="B346" s="64" t="s">
        <v>201</v>
      </c>
      <c r="C346" s="65" t="s">
        <v>260</v>
      </c>
      <c r="D346" s="64" t="s">
        <v>361</v>
      </c>
      <c r="E346" s="62">
        <v>3.8</v>
      </c>
      <c r="F346" s="61">
        <f>50+79</f>
        <v>129</v>
      </c>
      <c r="G346" s="121">
        <f t="shared" si="30"/>
        <v>490.2</v>
      </c>
      <c r="H346" s="113">
        <f t="shared" si="31"/>
        <v>1.9</v>
      </c>
      <c r="I346" s="113"/>
      <c r="J346" s="113"/>
      <c r="K346" s="113">
        <f t="shared" si="32"/>
        <v>245.1</v>
      </c>
      <c r="L346" s="114" t="s">
        <v>604</v>
      </c>
      <c r="Y346"/>
    </row>
    <row r="347" spans="1:25" s="11" customFormat="1" ht="13.5">
      <c r="A347" s="76" t="s">
        <v>369</v>
      </c>
      <c r="B347" s="64" t="s">
        <v>201</v>
      </c>
      <c r="C347" s="65" t="s">
        <v>260</v>
      </c>
      <c r="D347" s="64" t="s">
        <v>361</v>
      </c>
      <c r="E347" s="62">
        <v>3.8</v>
      </c>
      <c r="F347" s="61">
        <f>100+50</f>
        <v>150</v>
      </c>
      <c r="G347" s="121">
        <f t="shared" si="30"/>
        <v>570</v>
      </c>
      <c r="H347" s="113">
        <f t="shared" si="31"/>
        <v>1.9</v>
      </c>
      <c r="I347" s="113"/>
      <c r="J347" s="113"/>
      <c r="K347" s="113">
        <f t="shared" si="32"/>
        <v>285</v>
      </c>
      <c r="L347" s="114" t="s">
        <v>604</v>
      </c>
      <c r="Y347"/>
    </row>
    <row r="348" spans="1:25" s="11" customFormat="1" ht="14.25" thickBot="1">
      <c r="A348" s="86" t="s">
        <v>370</v>
      </c>
      <c r="B348" s="88" t="s">
        <v>201</v>
      </c>
      <c r="C348" s="89" t="s">
        <v>260</v>
      </c>
      <c r="D348" s="88" t="s">
        <v>361</v>
      </c>
      <c r="E348" s="80">
        <v>3.8</v>
      </c>
      <c r="F348" s="81">
        <f>100+50</f>
        <v>150</v>
      </c>
      <c r="G348" s="122">
        <f t="shared" si="30"/>
        <v>570</v>
      </c>
      <c r="H348" s="113">
        <f t="shared" si="31"/>
        <v>1.9</v>
      </c>
      <c r="I348" s="113"/>
      <c r="J348" s="113"/>
      <c r="K348" s="113">
        <f t="shared" si="32"/>
        <v>285</v>
      </c>
      <c r="L348" s="114" t="s">
        <v>604</v>
      </c>
      <c r="Y348"/>
    </row>
    <row r="349" spans="1:25" s="11" customFormat="1" ht="13.5">
      <c r="A349" s="87" t="s">
        <v>371</v>
      </c>
      <c r="B349" s="94" t="s">
        <v>201</v>
      </c>
      <c r="C349" s="95" t="s">
        <v>260</v>
      </c>
      <c r="D349" s="94" t="s">
        <v>361</v>
      </c>
      <c r="E349" s="84">
        <v>3.8</v>
      </c>
      <c r="F349" s="85">
        <f>100+50</f>
        <v>150</v>
      </c>
      <c r="G349" s="123">
        <f t="shared" si="30"/>
        <v>570</v>
      </c>
      <c r="H349" s="113">
        <f t="shared" si="31"/>
        <v>1.9</v>
      </c>
      <c r="I349" s="113"/>
      <c r="J349" s="113"/>
      <c r="K349" s="113">
        <f t="shared" si="32"/>
        <v>285</v>
      </c>
      <c r="L349" s="114" t="s">
        <v>604</v>
      </c>
      <c r="Y349"/>
    </row>
    <row r="350" spans="1:25" s="11" customFormat="1" ht="13.5">
      <c r="A350" s="76" t="s">
        <v>372</v>
      </c>
      <c r="B350" s="64" t="s">
        <v>201</v>
      </c>
      <c r="C350" s="65" t="s">
        <v>260</v>
      </c>
      <c r="D350" s="64" t="s">
        <v>361</v>
      </c>
      <c r="E350" s="62">
        <v>3.8</v>
      </c>
      <c r="F350" s="61">
        <f>50+100</f>
        <v>150</v>
      </c>
      <c r="G350" s="121">
        <f t="shared" si="30"/>
        <v>570</v>
      </c>
      <c r="H350" s="113">
        <f t="shared" si="31"/>
        <v>1.9</v>
      </c>
      <c r="I350" s="113"/>
      <c r="J350" s="113"/>
      <c r="K350" s="113">
        <f t="shared" si="32"/>
        <v>285</v>
      </c>
      <c r="L350" s="114" t="s">
        <v>604</v>
      </c>
      <c r="Y350"/>
    </row>
    <row r="351" spans="1:25" s="11" customFormat="1" ht="13.5">
      <c r="A351" s="76" t="s">
        <v>373</v>
      </c>
      <c r="B351" s="64" t="s">
        <v>201</v>
      </c>
      <c r="C351" s="65" t="s">
        <v>260</v>
      </c>
      <c r="D351" s="64" t="s">
        <v>361</v>
      </c>
      <c r="E351" s="62">
        <v>3.8</v>
      </c>
      <c r="F351" s="61">
        <f>50+100</f>
        <v>150</v>
      </c>
      <c r="G351" s="121">
        <f t="shared" si="30"/>
        <v>570</v>
      </c>
      <c r="H351" s="113">
        <f t="shared" si="31"/>
        <v>1.9</v>
      </c>
      <c r="I351" s="113"/>
      <c r="J351" s="113"/>
      <c r="K351" s="113">
        <f t="shared" si="32"/>
        <v>285</v>
      </c>
      <c r="L351" s="114" t="s">
        <v>604</v>
      </c>
      <c r="Y351"/>
    </row>
    <row r="352" spans="1:25" s="11" customFormat="1" ht="13.5">
      <c r="A352" s="76" t="s">
        <v>374</v>
      </c>
      <c r="B352" s="64" t="s">
        <v>201</v>
      </c>
      <c r="C352" s="65" t="s">
        <v>260</v>
      </c>
      <c r="D352" s="64" t="s">
        <v>361</v>
      </c>
      <c r="E352" s="62">
        <v>3.8</v>
      </c>
      <c r="F352" s="61">
        <f>100+50</f>
        <v>150</v>
      </c>
      <c r="G352" s="121">
        <f t="shared" si="30"/>
        <v>570</v>
      </c>
      <c r="H352" s="113">
        <f t="shared" si="31"/>
        <v>1.9</v>
      </c>
      <c r="I352" s="113"/>
      <c r="J352" s="113"/>
      <c r="K352" s="113">
        <f t="shared" si="32"/>
        <v>285</v>
      </c>
      <c r="L352" s="114" t="s">
        <v>604</v>
      </c>
      <c r="Y352"/>
    </row>
    <row r="353" spans="1:25" s="11" customFormat="1" ht="13.5">
      <c r="A353" s="76" t="s">
        <v>376</v>
      </c>
      <c r="B353" s="58" t="s">
        <v>248</v>
      </c>
      <c r="C353" s="58" t="s">
        <v>347</v>
      </c>
      <c r="D353" s="58" t="s">
        <v>375</v>
      </c>
      <c r="E353" s="62">
        <v>11.96</v>
      </c>
      <c r="F353" s="61">
        <f>9</f>
        <v>9</v>
      </c>
      <c r="G353" s="121">
        <f t="shared" si="30"/>
        <v>107.64000000000001</v>
      </c>
      <c r="H353" s="113">
        <f t="shared" si="31"/>
        <v>5.98</v>
      </c>
      <c r="I353" s="113"/>
      <c r="J353" s="113"/>
      <c r="K353" s="113">
        <f t="shared" si="32"/>
        <v>53.82000000000001</v>
      </c>
      <c r="L353" s="114" t="s">
        <v>604</v>
      </c>
      <c r="Y353"/>
    </row>
    <row r="354" spans="1:25" s="11" customFormat="1" ht="13.5">
      <c r="A354" s="76" t="s">
        <v>378</v>
      </c>
      <c r="B354" s="59" t="s">
        <v>201</v>
      </c>
      <c r="C354" s="59" t="s">
        <v>260</v>
      </c>
      <c r="D354" s="59" t="s">
        <v>377</v>
      </c>
      <c r="E354" s="60">
        <v>1.22</v>
      </c>
      <c r="F354" s="61">
        <f>500+500+500+500+499+250</f>
        <v>2749</v>
      </c>
      <c r="G354" s="121">
        <f t="shared" si="30"/>
        <v>3353.7799999999997</v>
      </c>
      <c r="H354" s="113">
        <f t="shared" si="31"/>
        <v>0.61</v>
      </c>
      <c r="I354" s="113"/>
      <c r="J354" s="113"/>
      <c r="K354" s="113">
        <f t="shared" si="32"/>
        <v>1676.8899999999999</v>
      </c>
      <c r="L354" s="114" t="s">
        <v>604</v>
      </c>
      <c r="Y354"/>
    </row>
    <row r="355" spans="1:25" s="11" customFormat="1" ht="13.5">
      <c r="A355" s="76" t="s">
        <v>379</v>
      </c>
      <c r="B355" s="58" t="s">
        <v>201</v>
      </c>
      <c r="C355" s="58" t="s">
        <v>206</v>
      </c>
      <c r="D355" s="58" t="s">
        <v>350</v>
      </c>
      <c r="E355" s="62">
        <v>1.72</v>
      </c>
      <c r="F355" s="61">
        <f>205</f>
        <v>205</v>
      </c>
      <c r="G355" s="121">
        <f t="shared" si="30"/>
        <v>352.6</v>
      </c>
      <c r="H355" s="113">
        <f t="shared" si="31"/>
        <v>0.86</v>
      </c>
      <c r="I355" s="113"/>
      <c r="J355" s="113"/>
      <c r="K355" s="113">
        <f t="shared" si="32"/>
        <v>176.3</v>
      </c>
      <c r="L355" s="114" t="s">
        <v>604</v>
      </c>
      <c r="Y355"/>
    </row>
    <row r="356" spans="1:25" s="11" customFormat="1" ht="13.5">
      <c r="A356" s="76" t="s">
        <v>380</v>
      </c>
      <c r="B356" s="58" t="s">
        <v>201</v>
      </c>
      <c r="C356" s="58" t="s">
        <v>206</v>
      </c>
      <c r="D356" s="58" t="s">
        <v>350</v>
      </c>
      <c r="E356" s="62">
        <v>1.72</v>
      </c>
      <c r="F356" s="61">
        <f>625+295</f>
        <v>920</v>
      </c>
      <c r="G356" s="121">
        <f t="shared" si="30"/>
        <v>1582.3999999999999</v>
      </c>
      <c r="H356" s="113">
        <f t="shared" si="31"/>
        <v>0.86</v>
      </c>
      <c r="I356" s="113"/>
      <c r="J356" s="113"/>
      <c r="K356" s="113">
        <f t="shared" si="32"/>
        <v>791.1999999999999</v>
      </c>
      <c r="L356" s="114" t="s">
        <v>604</v>
      </c>
      <c r="Y356"/>
    </row>
    <row r="357" spans="1:25" s="11" customFormat="1" ht="13.5">
      <c r="A357" s="76" t="s">
        <v>381</v>
      </c>
      <c r="B357" s="58" t="s">
        <v>201</v>
      </c>
      <c r="C357" s="58" t="s">
        <v>206</v>
      </c>
      <c r="D357" s="58" t="s">
        <v>350</v>
      </c>
      <c r="E357" s="62">
        <v>1.72</v>
      </c>
      <c r="F357" s="61">
        <f>187</f>
        <v>187</v>
      </c>
      <c r="G357" s="121">
        <f t="shared" si="30"/>
        <v>321.64</v>
      </c>
      <c r="H357" s="113">
        <f t="shared" si="31"/>
        <v>0.86</v>
      </c>
      <c r="I357" s="113"/>
      <c r="J357" s="113"/>
      <c r="K357" s="113">
        <f t="shared" si="32"/>
        <v>160.82</v>
      </c>
      <c r="L357" s="114" t="s">
        <v>604</v>
      </c>
      <c r="Y357"/>
    </row>
    <row r="358" spans="1:25" s="11" customFormat="1" ht="13.5">
      <c r="A358" s="76" t="s">
        <v>382</v>
      </c>
      <c r="B358" s="58" t="s">
        <v>201</v>
      </c>
      <c r="C358" s="58" t="s">
        <v>206</v>
      </c>
      <c r="D358" s="58" t="s">
        <v>350</v>
      </c>
      <c r="E358" s="62">
        <v>1.72</v>
      </c>
      <c r="F358" s="61">
        <f>425</f>
        <v>425</v>
      </c>
      <c r="G358" s="121">
        <f t="shared" si="30"/>
        <v>731</v>
      </c>
      <c r="H358" s="113">
        <f t="shared" si="31"/>
        <v>0.86</v>
      </c>
      <c r="I358" s="113"/>
      <c r="J358" s="113"/>
      <c r="K358" s="113">
        <f t="shared" si="32"/>
        <v>365.5</v>
      </c>
      <c r="L358" s="114" t="s">
        <v>604</v>
      </c>
      <c r="Y358"/>
    </row>
    <row r="359" spans="1:25" s="11" customFormat="1" ht="13.5">
      <c r="A359" s="76" t="s">
        <v>383</v>
      </c>
      <c r="B359" s="58" t="s">
        <v>201</v>
      </c>
      <c r="C359" s="58" t="s">
        <v>206</v>
      </c>
      <c r="D359" s="58" t="s">
        <v>350</v>
      </c>
      <c r="E359" s="62">
        <v>1.72</v>
      </c>
      <c r="F359" s="61">
        <f>305</f>
        <v>305</v>
      </c>
      <c r="G359" s="121">
        <f t="shared" si="30"/>
        <v>524.6</v>
      </c>
      <c r="H359" s="113">
        <f t="shared" si="31"/>
        <v>0.86</v>
      </c>
      <c r="I359" s="113"/>
      <c r="J359" s="113"/>
      <c r="K359" s="113">
        <f t="shared" si="32"/>
        <v>262.3</v>
      </c>
      <c r="L359" s="114" t="s">
        <v>604</v>
      </c>
      <c r="Y359"/>
    </row>
    <row r="360" spans="1:25" s="11" customFormat="1" ht="13.5">
      <c r="A360" s="76" t="s">
        <v>384</v>
      </c>
      <c r="B360" s="58" t="s">
        <v>201</v>
      </c>
      <c r="C360" s="58" t="s">
        <v>206</v>
      </c>
      <c r="D360" s="58" t="s">
        <v>350</v>
      </c>
      <c r="E360" s="62">
        <v>1.72</v>
      </c>
      <c r="F360" s="61">
        <f>298</f>
        <v>298</v>
      </c>
      <c r="G360" s="121">
        <f t="shared" si="30"/>
        <v>512.56</v>
      </c>
      <c r="H360" s="113">
        <f t="shared" si="31"/>
        <v>0.86</v>
      </c>
      <c r="I360" s="113"/>
      <c r="J360" s="113"/>
      <c r="K360" s="113">
        <f t="shared" si="32"/>
        <v>256.28</v>
      </c>
      <c r="L360" s="114" t="s">
        <v>604</v>
      </c>
      <c r="Y360"/>
    </row>
    <row r="361" spans="1:25" s="11" customFormat="1" ht="13.5">
      <c r="A361" s="76" t="s">
        <v>385</v>
      </c>
      <c r="B361" s="58" t="s">
        <v>201</v>
      </c>
      <c r="C361" s="58" t="s">
        <v>206</v>
      </c>
      <c r="D361" s="58" t="s">
        <v>350</v>
      </c>
      <c r="E361" s="62">
        <v>1.72</v>
      </c>
      <c r="F361" s="61">
        <f>624</f>
        <v>624</v>
      </c>
      <c r="G361" s="121">
        <f t="shared" si="30"/>
        <v>1073.28</v>
      </c>
      <c r="H361" s="113">
        <f t="shared" si="31"/>
        <v>0.86</v>
      </c>
      <c r="I361" s="113"/>
      <c r="J361" s="113"/>
      <c r="K361" s="113">
        <f t="shared" si="32"/>
        <v>536.64</v>
      </c>
      <c r="L361" s="114" t="s">
        <v>604</v>
      </c>
      <c r="Y361"/>
    </row>
    <row r="362" spans="1:25" s="11" customFormat="1" ht="13.5">
      <c r="A362" s="76" t="s">
        <v>387</v>
      </c>
      <c r="B362" s="58" t="s">
        <v>248</v>
      </c>
      <c r="C362" s="58" t="s">
        <v>386</v>
      </c>
      <c r="D362" s="58" t="s">
        <v>250</v>
      </c>
      <c r="E362" s="62">
        <v>6.88</v>
      </c>
      <c r="F362" s="61">
        <f>9</f>
        <v>9</v>
      </c>
      <c r="G362" s="121">
        <f t="shared" si="30"/>
        <v>61.92</v>
      </c>
      <c r="H362" s="113">
        <f t="shared" si="31"/>
        <v>3.44</v>
      </c>
      <c r="I362" s="113"/>
      <c r="J362" s="113"/>
      <c r="K362" s="113">
        <f t="shared" si="32"/>
        <v>30.96</v>
      </c>
      <c r="L362" s="114" t="s">
        <v>604</v>
      </c>
      <c r="Y362"/>
    </row>
    <row r="363" spans="1:25" s="11" customFormat="1" ht="13.5">
      <c r="A363" s="76" t="s">
        <v>388</v>
      </c>
      <c r="B363" s="58" t="s">
        <v>248</v>
      </c>
      <c r="C363" s="58" t="s">
        <v>386</v>
      </c>
      <c r="D363" s="58" t="s">
        <v>250</v>
      </c>
      <c r="E363" s="62">
        <v>6.88</v>
      </c>
      <c r="F363" s="61">
        <f>20</f>
        <v>20</v>
      </c>
      <c r="G363" s="121">
        <f t="shared" si="30"/>
        <v>137.6</v>
      </c>
      <c r="H363" s="113">
        <f t="shared" si="31"/>
        <v>3.44</v>
      </c>
      <c r="I363" s="113"/>
      <c r="J363" s="113"/>
      <c r="K363" s="113">
        <f t="shared" si="32"/>
        <v>68.8</v>
      </c>
      <c r="L363" s="114" t="s">
        <v>604</v>
      </c>
      <c r="Y363"/>
    </row>
    <row r="364" spans="1:25" s="11" customFormat="1" ht="13.5">
      <c r="A364" s="76" t="s">
        <v>389</v>
      </c>
      <c r="B364" s="58" t="s">
        <v>248</v>
      </c>
      <c r="C364" s="58" t="s">
        <v>386</v>
      </c>
      <c r="D364" s="58" t="s">
        <v>250</v>
      </c>
      <c r="E364" s="62">
        <v>6.88</v>
      </c>
      <c r="F364" s="61">
        <f>3+20</f>
        <v>23</v>
      </c>
      <c r="G364" s="121">
        <f t="shared" si="30"/>
        <v>158.24</v>
      </c>
      <c r="H364" s="113">
        <f t="shared" si="31"/>
        <v>3.44</v>
      </c>
      <c r="I364" s="113"/>
      <c r="J364" s="113"/>
      <c r="K364" s="113">
        <f t="shared" si="32"/>
        <v>79.12</v>
      </c>
      <c r="L364" s="114" t="s">
        <v>604</v>
      </c>
      <c r="Y364"/>
    </row>
    <row r="365" spans="1:25" s="11" customFormat="1" ht="13.5">
      <c r="A365" s="76" t="s">
        <v>390</v>
      </c>
      <c r="B365" s="58" t="s">
        <v>248</v>
      </c>
      <c r="C365" s="58" t="s">
        <v>386</v>
      </c>
      <c r="D365" s="58" t="s">
        <v>250</v>
      </c>
      <c r="E365" s="62">
        <v>2.29</v>
      </c>
      <c r="F365" s="61">
        <f>14</f>
        <v>14</v>
      </c>
      <c r="G365" s="121">
        <f t="shared" si="30"/>
        <v>32.06</v>
      </c>
      <c r="H365" s="113">
        <f t="shared" si="31"/>
        <v>1.145</v>
      </c>
      <c r="I365" s="113"/>
      <c r="J365" s="113"/>
      <c r="K365" s="113">
        <f t="shared" si="32"/>
        <v>16.03</v>
      </c>
      <c r="L365" s="114" t="s">
        <v>604</v>
      </c>
      <c r="Y365"/>
    </row>
    <row r="366" spans="1:25" s="11" customFormat="1" ht="13.5">
      <c r="A366" s="76" t="s">
        <v>391</v>
      </c>
      <c r="B366" s="58" t="s">
        <v>248</v>
      </c>
      <c r="C366" s="58" t="s">
        <v>386</v>
      </c>
      <c r="D366" s="58" t="s">
        <v>250</v>
      </c>
      <c r="E366" s="62">
        <v>2.29</v>
      </c>
      <c r="F366" s="61">
        <f>20</f>
        <v>20</v>
      </c>
      <c r="G366" s="121">
        <f t="shared" si="30"/>
        <v>45.8</v>
      </c>
      <c r="H366" s="113">
        <f t="shared" si="31"/>
        <v>1.145</v>
      </c>
      <c r="I366" s="113"/>
      <c r="J366" s="113"/>
      <c r="K366" s="113">
        <f t="shared" si="32"/>
        <v>22.9</v>
      </c>
      <c r="L366" s="114" t="s">
        <v>604</v>
      </c>
      <c r="Y366"/>
    </row>
    <row r="367" spans="1:25" s="11" customFormat="1" ht="13.5">
      <c r="A367" s="76" t="s">
        <v>391</v>
      </c>
      <c r="B367" s="58" t="s">
        <v>248</v>
      </c>
      <c r="C367" s="58" t="s">
        <v>386</v>
      </c>
      <c r="D367" s="58" t="s">
        <v>252</v>
      </c>
      <c r="E367" s="62">
        <v>2.29</v>
      </c>
      <c r="F367" s="61">
        <f>17</f>
        <v>17</v>
      </c>
      <c r="G367" s="121">
        <f t="shared" si="30"/>
        <v>38.93</v>
      </c>
      <c r="H367" s="113">
        <f t="shared" si="31"/>
        <v>1.145</v>
      </c>
      <c r="I367" s="113"/>
      <c r="J367" s="113"/>
      <c r="K367" s="113">
        <f t="shared" si="32"/>
        <v>19.465</v>
      </c>
      <c r="L367" s="114" t="s">
        <v>604</v>
      </c>
      <c r="Y367"/>
    </row>
    <row r="368" spans="1:25" s="11" customFormat="1" ht="13.5">
      <c r="A368" s="76" t="s">
        <v>392</v>
      </c>
      <c r="B368" s="58" t="s">
        <v>248</v>
      </c>
      <c r="C368" s="58" t="s">
        <v>386</v>
      </c>
      <c r="D368" s="58" t="s">
        <v>250</v>
      </c>
      <c r="E368" s="62">
        <v>2.29</v>
      </c>
      <c r="F368" s="61">
        <f>14</f>
        <v>14</v>
      </c>
      <c r="G368" s="121">
        <f t="shared" si="30"/>
        <v>32.06</v>
      </c>
      <c r="H368" s="113">
        <f t="shared" si="31"/>
        <v>1.145</v>
      </c>
      <c r="I368" s="113"/>
      <c r="J368" s="113"/>
      <c r="K368" s="113">
        <f t="shared" si="32"/>
        <v>16.03</v>
      </c>
      <c r="L368" s="114" t="s">
        <v>604</v>
      </c>
      <c r="Y368"/>
    </row>
    <row r="369" spans="1:25" s="11" customFormat="1" ht="13.5">
      <c r="A369" s="76" t="s">
        <v>392</v>
      </c>
      <c r="B369" s="58" t="s">
        <v>248</v>
      </c>
      <c r="C369" s="58" t="s">
        <v>386</v>
      </c>
      <c r="D369" s="58" t="s">
        <v>252</v>
      </c>
      <c r="E369" s="62">
        <v>2.29</v>
      </c>
      <c r="F369" s="61">
        <f>19</f>
        <v>19</v>
      </c>
      <c r="G369" s="121">
        <f t="shared" si="30"/>
        <v>43.51</v>
      </c>
      <c r="H369" s="113">
        <f t="shared" si="31"/>
        <v>1.145</v>
      </c>
      <c r="I369" s="113"/>
      <c r="J369" s="113"/>
      <c r="K369" s="113">
        <f t="shared" si="32"/>
        <v>21.755</v>
      </c>
      <c r="L369" s="114" t="s">
        <v>604</v>
      </c>
      <c r="Y369"/>
    </row>
    <row r="370" spans="1:25" s="11" customFormat="1" ht="13.5">
      <c r="A370" s="76" t="s">
        <v>393</v>
      </c>
      <c r="B370" s="58" t="s">
        <v>248</v>
      </c>
      <c r="C370" s="58" t="s">
        <v>386</v>
      </c>
      <c r="D370" s="58" t="s">
        <v>250</v>
      </c>
      <c r="E370" s="62">
        <v>2.29</v>
      </c>
      <c r="F370" s="61">
        <f>14</f>
        <v>14</v>
      </c>
      <c r="G370" s="121">
        <f t="shared" si="30"/>
        <v>32.06</v>
      </c>
      <c r="H370" s="113">
        <f t="shared" si="31"/>
        <v>1.145</v>
      </c>
      <c r="I370" s="113"/>
      <c r="J370" s="113"/>
      <c r="K370" s="113">
        <f t="shared" si="32"/>
        <v>16.03</v>
      </c>
      <c r="L370" s="114" t="s">
        <v>604</v>
      </c>
      <c r="Y370"/>
    </row>
    <row r="371" spans="1:25" s="11" customFormat="1" ht="13.5">
      <c r="A371" s="76" t="s">
        <v>393</v>
      </c>
      <c r="B371" s="58" t="s">
        <v>248</v>
      </c>
      <c r="C371" s="58" t="s">
        <v>386</v>
      </c>
      <c r="D371" s="58" t="s">
        <v>252</v>
      </c>
      <c r="E371" s="62">
        <v>2.29</v>
      </c>
      <c r="F371" s="61">
        <f>14</f>
        <v>14</v>
      </c>
      <c r="G371" s="121">
        <f t="shared" si="30"/>
        <v>32.06</v>
      </c>
      <c r="H371" s="113">
        <f t="shared" si="31"/>
        <v>1.145</v>
      </c>
      <c r="I371" s="113"/>
      <c r="J371" s="113"/>
      <c r="K371" s="113">
        <f t="shared" si="32"/>
        <v>16.03</v>
      </c>
      <c r="L371" s="114" t="s">
        <v>604</v>
      </c>
      <c r="Y371"/>
    </row>
    <row r="372" spans="1:25" s="11" customFormat="1" ht="13.5">
      <c r="A372" s="76" t="s">
        <v>394</v>
      </c>
      <c r="B372" s="58" t="s">
        <v>248</v>
      </c>
      <c r="C372" s="58" t="s">
        <v>386</v>
      </c>
      <c r="D372" s="58" t="s">
        <v>250</v>
      </c>
      <c r="E372" s="62">
        <v>2.29</v>
      </c>
      <c r="F372" s="61">
        <f>10</f>
        <v>10</v>
      </c>
      <c r="G372" s="121">
        <f t="shared" si="30"/>
        <v>22.9</v>
      </c>
      <c r="H372" s="113">
        <f t="shared" si="31"/>
        <v>1.145</v>
      </c>
      <c r="I372" s="113"/>
      <c r="J372" s="113"/>
      <c r="K372" s="113">
        <f t="shared" si="32"/>
        <v>11.45</v>
      </c>
      <c r="L372" s="114" t="s">
        <v>604</v>
      </c>
      <c r="Y372"/>
    </row>
    <row r="373" spans="1:25" s="11" customFormat="1" ht="13.5">
      <c r="A373" s="76" t="s">
        <v>394</v>
      </c>
      <c r="B373" s="58" t="s">
        <v>248</v>
      </c>
      <c r="C373" s="58" t="s">
        <v>386</v>
      </c>
      <c r="D373" s="58" t="s">
        <v>252</v>
      </c>
      <c r="E373" s="62">
        <v>2.29</v>
      </c>
      <c r="F373" s="61">
        <f>15</f>
        <v>15</v>
      </c>
      <c r="G373" s="121">
        <f t="shared" si="30"/>
        <v>34.35</v>
      </c>
      <c r="H373" s="113">
        <f t="shared" si="31"/>
        <v>1.145</v>
      </c>
      <c r="I373" s="113"/>
      <c r="J373" s="113"/>
      <c r="K373" s="113">
        <f t="shared" si="32"/>
        <v>17.175</v>
      </c>
      <c r="L373" s="114" t="s">
        <v>604</v>
      </c>
      <c r="Y373"/>
    </row>
    <row r="374" spans="1:25" s="11" customFormat="1" ht="13.5">
      <c r="A374" s="76" t="s">
        <v>395</v>
      </c>
      <c r="B374" s="58" t="s">
        <v>248</v>
      </c>
      <c r="C374" s="58" t="s">
        <v>347</v>
      </c>
      <c r="D374" s="58" t="s">
        <v>250</v>
      </c>
      <c r="E374" s="62">
        <v>19.14</v>
      </c>
      <c r="F374" s="61">
        <f>2</f>
        <v>2</v>
      </c>
      <c r="G374" s="121">
        <f aca="true" t="shared" si="33" ref="G374:G403">F374*E374</f>
        <v>38.28</v>
      </c>
      <c r="H374" s="113">
        <f aca="true" t="shared" si="34" ref="H374:H403">E374*0.5</f>
        <v>9.57</v>
      </c>
      <c r="I374" s="113"/>
      <c r="J374" s="113"/>
      <c r="K374" s="113">
        <f aca="true" t="shared" si="35" ref="K374:K403">H374*F374</f>
        <v>19.14</v>
      </c>
      <c r="L374" s="114" t="s">
        <v>604</v>
      </c>
      <c r="Y374"/>
    </row>
    <row r="375" spans="1:25" s="11" customFormat="1" ht="13.5">
      <c r="A375" s="76" t="s">
        <v>396</v>
      </c>
      <c r="B375" s="58" t="s">
        <v>248</v>
      </c>
      <c r="C375" s="58" t="s">
        <v>347</v>
      </c>
      <c r="D375" s="58" t="s">
        <v>250</v>
      </c>
      <c r="E375" s="62">
        <v>47.36</v>
      </c>
      <c r="F375" s="61">
        <f>1</f>
        <v>1</v>
      </c>
      <c r="G375" s="121">
        <f t="shared" si="33"/>
        <v>47.36</v>
      </c>
      <c r="H375" s="113">
        <f t="shared" si="34"/>
        <v>23.68</v>
      </c>
      <c r="I375" s="113"/>
      <c r="J375" s="113"/>
      <c r="K375" s="113">
        <f t="shared" si="35"/>
        <v>23.68</v>
      </c>
      <c r="L375" s="114" t="s">
        <v>604</v>
      </c>
      <c r="Y375"/>
    </row>
    <row r="376" spans="1:25" s="11" customFormat="1" ht="13.5">
      <c r="A376" s="76" t="s">
        <v>396</v>
      </c>
      <c r="B376" s="58" t="s">
        <v>248</v>
      </c>
      <c r="C376" s="58" t="s">
        <v>347</v>
      </c>
      <c r="D376" s="58" t="s">
        <v>252</v>
      </c>
      <c r="E376" s="62">
        <v>47.36</v>
      </c>
      <c r="F376" s="61">
        <f>1</f>
        <v>1</v>
      </c>
      <c r="G376" s="121">
        <f t="shared" si="33"/>
        <v>47.36</v>
      </c>
      <c r="H376" s="113">
        <f t="shared" si="34"/>
        <v>23.68</v>
      </c>
      <c r="I376" s="113"/>
      <c r="J376" s="113"/>
      <c r="K376" s="113">
        <f t="shared" si="35"/>
        <v>23.68</v>
      </c>
      <c r="L376" s="114" t="s">
        <v>604</v>
      </c>
      <c r="Y376"/>
    </row>
    <row r="377" spans="1:25" s="11" customFormat="1" ht="13.5">
      <c r="A377" s="76" t="s">
        <v>397</v>
      </c>
      <c r="B377" s="58" t="s">
        <v>248</v>
      </c>
      <c r="C377" s="58" t="s">
        <v>347</v>
      </c>
      <c r="D377" s="58" t="s">
        <v>375</v>
      </c>
      <c r="E377" s="62">
        <v>43.06</v>
      </c>
      <c r="F377" s="61">
        <f>2</f>
        <v>2</v>
      </c>
      <c r="G377" s="121">
        <f t="shared" si="33"/>
        <v>86.12</v>
      </c>
      <c r="H377" s="113">
        <f t="shared" si="34"/>
        <v>21.53</v>
      </c>
      <c r="I377" s="113"/>
      <c r="J377" s="113"/>
      <c r="K377" s="113">
        <f t="shared" si="35"/>
        <v>43.06</v>
      </c>
      <c r="L377" s="114" t="s">
        <v>604</v>
      </c>
      <c r="Y377"/>
    </row>
    <row r="378" spans="1:25" s="11" customFormat="1" ht="13.5">
      <c r="A378" s="76" t="s">
        <v>399</v>
      </c>
      <c r="B378" s="66" t="s">
        <v>201</v>
      </c>
      <c r="C378" s="65" t="s">
        <v>260</v>
      </c>
      <c r="D378" s="64" t="s">
        <v>398</v>
      </c>
      <c r="E378" s="62">
        <v>20.5</v>
      </c>
      <c r="F378" s="61">
        <v>5</v>
      </c>
      <c r="G378" s="121">
        <f t="shared" si="33"/>
        <v>102.5</v>
      </c>
      <c r="H378" s="113">
        <f t="shared" si="34"/>
        <v>10.25</v>
      </c>
      <c r="I378" s="113"/>
      <c r="J378" s="113"/>
      <c r="K378" s="113">
        <f t="shared" si="35"/>
        <v>51.25</v>
      </c>
      <c r="L378" s="114" t="s">
        <v>604</v>
      </c>
      <c r="Y378"/>
    </row>
    <row r="379" spans="1:25" s="11" customFormat="1" ht="13.5">
      <c r="A379" s="76" t="s">
        <v>400</v>
      </c>
      <c r="B379" s="66" t="s">
        <v>201</v>
      </c>
      <c r="C379" s="65" t="s">
        <v>260</v>
      </c>
      <c r="D379" s="64" t="s">
        <v>398</v>
      </c>
      <c r="E379" s="62">
        <v>20.5</v>
      </c>
      <c r="F379" s="61">
        <v>3</v>
      </c>
      <c r="G379" s="121">
        <f t="shared" si="33"/>
        <v>61.5</v>
      </c>
      <c r="H379" s="113">
        <f t="shared" si="34"/>
        <v>10.25</v>
      </c>
      <c r="I379" s="113"/>
      <c r="J379" s="113"/>
      <c r="K379" s="113">
        <f t="shared" si="35"/>
        <v>30.75</v>
      </c>
      <c r="L379" s="114" t="s">
        <v>604</v>
      </c>
      <c r="Y379"/>
    </row>
    <row r="380" spans="1:25" s="11" customFormat="1" ht="13.5">
      <c r="A380" s="76" t="s">
        <v>401</v>
      </c>
      <c r="B380" s="66" t="s">
        <v>201</v>
      </c>
      <c r="C380" s="65" t="s">
        <v>260</v>
      </c>
      <c r="D380" s="64" t="s">
        <v>398</v>
      </c>
      <c r="E380" s="62">
        <v>20.5</v>
      </c>
      <c r="F380" s="61">
        <v>1</v>
      </c>
      <c r="G380" s="121">
        <f t="shared" si="33"/>
        <v>20.5</v>
      </c>
      <c r="H380" s="113">
        <f t="shared" si="34"/>
        <v>10.25</v>
      </c>
      <c r="I380" s="113"/>
      <c r="J380" s="113"/>
      <c r="K380" s="113">
        <f t="shared" si="35"/>
        <v>10.25</v>
      </c>
      <c r="L380" s="114" t="s">
        <v>604</v>
      </c>
      <c r="Y380"/>
    </row>
    <row r="381" spans="1:25" s="11" customFormat="1" ht="13.5">
      <c r="A381" s="76" t="s">
        <v>402</v>
      </c>
      <c r="B381" s="66" t="s">
        <v>201</v>
      </c>
      <c r="C381" s="65" t="s">
        <v>260</v>
      </c>
      <c r="D381" s="64" t="s">
        <v>398</v>
      </c>
      <c r="E381" s="62">
        <v>17.5</v>
      </c>
      <c r="F381" s="61">
        <v>4</v>
      </c>
      <c r="G381" s="121">
        <f t="shared" si="33"/>
        <v>70</v>
      </c>
      <c r="H381" s="113">
        <f t="shared" si="34"/>
        <v>8.75</v>
      </c>
      <c r="I381" s="113"/>
      <c r="J381" s="113"/>
      <c r="K381" s="113">
        <f t="shared" si="35"/>
        <v>35</v>
      </c>
      <c r="L381" s="114" t="s">
        <v>604</v>
      </c>
      <c r="Y381"/>
    </row>
    <row r="382" spans="1:25" s="11" customFormat="1" ht="25.5">
      <c r="A382" s="76" t="s">
        <v>403</v>
      </c>
      <c r="B382" s="66" t="s">
        <v>201</v>
      </c>
      <c r="C382" s="65" t="s">
        <v>260</v>
      </c>
      <c r="D382" s="64" t="s">
        <v>398</v>
      </c>
      <c r="E382" s="62">
        <v>17.5</v>
      </c>
      <c r="F382" s="61">
        <v>3</v>
      </c>
      <c r="G382" s="121">
        <f t="shared" si="33"/>
        <v>52.5</v>
      </c>
      <c r="H382" s="113">
        <f t="shared" si="34"/>
        <v>8.75</v>
      </c>
      <c r="I382" s="113"/>
      <c r="J382" s="113"/>
      <c r="K382" s="113">
        <f t="shared" si="35"/>
        <v>26.25</v>
      </c>
      <c r="L382" s="114" t="s">
        <v>604</v>
      </c>
      <c r="Y382"/>
    </row>
    <row r="383" spans="1:25" s="11" customFormat="1" ht="13.5">
      <c r="A383" s="76" t="s">
        <v>404</v>
      </c>
      <c r="B383" s="66" t="s">
        <v>201</v>
      </c>
      <c r="C383" s="65" t="s">
        <v>260</v>
      </c>
      <c r="D383" s="64" t="s">
        <v>398</v>
      </c>
      <c r="E383" s="62">
        <v>17.5</v>
      </c>
      <c r="F383" s="61">
        <v>8</v>
      </c>
      <c r="G383" s="121">
        <f t="shared" si="33"/>
        <v>140</v>
      </c>
      <c r="H383" s="113">
        <f t="shared" si="34"/>
        <v>8.75</v>
      </c>
      <c r="I383" s="113"/>
      <c r="J383" s="113"/>
      <c r="K383" s="113">
        <f t="shared" si="35"/>
        <v>70</v>
      </c>
      <c r="L383" s="114" t="s">
        <v>604</v>
      </c>
      <c r="Y383"/>
    </row>
    <row r="384" spans="1:25" s="11" customFormat="1" ht="13.5">
      <c r="A384" s="76" t="s">
        <v>405</v>
      </c>
      <c r="B384" s="66" t="s">
        <v>201</v>
      </c>
      <c r="C384" s="65" t="s">
        <v>260</v>
      </c>
      <c r="D384" s="64" t="s">
        <v>398</v>
      </c>
      <c r="E384" s="62">
        <v>16.5</v>
      </c>
      <c r="F384" s="61">
        <v>1</v>
      </c>
      <c r="G384" s="121">
        <f t="shared" si="33"/>
        <v>16.5</v>
      </c>
      <c r="H384" s="113">
        <f t="shared" si="34"/>
        <v>8.25</v>
      </c>
      <c r="I384" s="113"/>
      <c r="J384" s="113"/>
      <c r="K384" s="113">
        <f t="shared" si="35"/>
        <v>8.25</v>
      </c>
      <c r="L384" s="114" t="s">
        <v>604</v>
      </c>
      <c r="Y384"/>
    </row>
    <row r="385" spans="1:25" s="11" customFormat="1" ht="13.5">
      <c r="A385" s="76" t="s">
        <v>406</v>
      </c>
      <c r="B385" s="66" t="s">
        <v>201</v>
      </c>
      <c r="C385" s="65" t="s">
        <v>260</v>
      </c>
      <c r="D385" s="64" t="s">
        <v>398</v>
      </c>
      <c r="E385" s="62">
        <v>16.5</v>
      </c>
      <c r="F385" s="61">
        <v>3</v>
      </c>
      <c r="G385" s="121">
        <f t="shared" si="33"/>
        <v>49.5</v>
      </c>
      <c r="H385" s="113">
        <f t="shared" si="34"/>
        <v>8.25</v>
      </c>
      <c r="I385" s="113"/>
      <c r="J385" s="113"/>
      <c r="K385" s="113">
        <f t="shared" si="35"/>
        <v>24.75</v>
      </c>
      <c r="L385" s="114" t="s">
        <v>604</v>
      </c>
      <c r="Y385"/>
    </row>
    <row r="386" spans="1:25" s="11" customFormat="1" ht="13.5">
      <c r="A386" s="76" t="s">
        <v>407</v>
      </c>
      <c r="B386" s="66" t="s">
        <v>201</v>
      </c>
      <c r="C386" s="65" t="s">
        <v>260</v>
      </c>
      <c r="D386" s="64" t="s">
        <v>398</v>
      </c>
      <c r="E386" s="62">
        <v>16.5</v>
      </c>
      <c r="F386" s="61">
        <v>1</v>
      </c>
      <c r="G386" s="121">
        <f t="shared" si="33"/>
        <v>16.5</v>
      </c>
      <c r="H386" s="113">
        <f t="shared" si="34"/>
        <v>8.25</v>
      </c>
      <c r="I386" s="113"/>
      <c r="J386" s="113"/>
      <c r="K386" s="113">
        <f t="shared" si="35"/>
        <v>8.25</v>
      </c>
      <c r="L386" s="114" t="s">
        <v>604</v>
      </c>
      <c r="Y386"/>
    </row>
    <row r="387" spans="1:25" s="11" customFormat="1" ht="13.5">
      <c r="A387" s="76" t="s">
        <v>408</v>
      </c>
      <c r="B387" s="66" t="s">
        <v>201</v>
      </c>
      <c r="C387" s="65" t="s">
        <v>260</v>
      </c>
      <c r="D387" s="64" t="s">
        <v>398</v>
      </c>
      <c r="E387" s="62">
        <v>16.5</v>
      </c>
      <c r="F387" s="61">
        <v>2</v>
      </c>
      <c r="G387" s="121">
        <f t="shared" si="33"/>
        <v>33</v>
      </c>
      <c r="H387" s="113">
        <f t="shared" si="34"/>
        <v>8.25</v>
      </c>
      <c r="I387" s="113"/>
      <c r="J387" s="113"/>
      <c r="K387" s="113">
        <f t="shared" si="35"/>
        <v>16.5</v>
      </c>
      <c r="L387" s="114" t="s">
        <v>604</v>
      </c>
      <c r="Y387"/>
    </row>
    <row r="388" spans="1:25" s="11" customFormat="1" ht="13.5">
      <c r="A388" s="76" t="s">
        <v>409</v>
      </c>
      <c r="B388" s="58" t="s">
        <v>201</v>
      </c>
      <c r="C388" s="58" t="s">
        <v>260</v>
      </c>
      <c r="D388" s="58" t="s">
        <v>277</v>
      </c>
      <c r="E388" s="62">
        <v>3.5</v>
      </c>
      <c r="F388" s="61">
        <v>8</v>
      </c>
      <c r="G388" s="121">
        <f t="shared" si="33"/>
        <v>28</v>
      </c>
      <c r="H388" s="113">
        <f t="shared" si="34"/>
        <v>1.75</v>
      </c>
      <c r="I388" s="113"/>
      <c r="J388" s="113"/>
      <c r="K388" s="113">
        <f t="shared" si="35"/>
        <v>14</v>
      </c>
      <c r="L388" s="114" t="s">
        <v>604</v>
      </c>
      <c r="Y388"/>
    </row>
    <row r="389" spans="1:25" s="11" customFormat="1" ht="13.5">
      <c r="A389" s="76" t="s">
        <v>411</v>
      </c>
      <c r="B389" s="61" t="s">
        <v>201</v>
      </c>
      <c r="C389" s="59" t="s">
        <v>260</v>
      </c>
      <c r="D389" s="61" t="s">
        <v>410</v>
      </c>
      <c r="E389" s="62">
        <v>36</v>
      </c>
      <c r="F389" s="61">
        <f>2</f>
        <v>2</v>
      </c>
      <c r="G389" s="121">
        <f t="shared" si="33"/>
        <v>72</v>
      </c>
      <c r="H389" s="113">
        <f t="shared" si="34"/>
        <v>18</v>
      </c>
      <c r="I389" s="113"/>
      <c r="J389" s="113"/>
      <c r="K389" s="113">
        <f t="shared" si="35"/>
        <v>36</v>
      </c>
      <c r="L389" s="114" t="s">
        <v>604</v>
      </c>
      <c r="Y389"/>
    </row>
    <row r="390" spans="1:25" s="11" customFormat="1" ht="13.5">
      <c r="A390" s="76" t="s">
        <v>412</v>
      </c>
      <c r="B390" s="66" t="s">
        <v>201</v>
      </c>
      <c r="C390" s="65" t="s">
        <v>260</v>
      </c>
      <c r="D390" s="66" t="s">
        <v>410</v>
      </c>
      <c r="E390" s="62">
        <v>26.5</v>
      </c>
      <c r="F390" s="61">
        <f>1</f>
        <v>1</v>
      </c>
      <c r="G390" s="121">
        <f t="shared" si="33"/>
        <v>26.5</v>
      </c>
      <c r="H390" s="113">
        <f t="shared" si="34"/>
        <v>13.25</v>
      </c>
      <c r="I390" s="113"/>
      <c r="J390" s="113"/>
      <c r="K390" s="113">
        <f t="shared" si="35"/>
        <v>13.25</v>
      </c>
      <c r="L390" s="114" t="s">
        <v>604</v>
      </c>
      <c r="Y390"/>
    </row>
    <row r="391" spans="1:25" s="11" customFormat="1" ht="13.5">
      <c r="A391" s="76" t="s">
        <v>413</v>
      </c>
      <c r="B391" s="66" t="s">
        <v>201</v>
      </c>
      <c r="C391" s="65" t="s">
        <v>260</v>
      </c>
      <c r="D391" s="66" t="s">
        <v>410</v>
      </c>
      <c r="E391" s="62">
        <v>26.5</v>
      </c>
      <c r="F391" s="61">
        <v>4</v>
      </c>
      <c r="G391" s="121">
        <f t="shared" si="33"/>
        <v>106</v>
      </c>
      <c r="H391" s="113">
        <f t="shared" si="34"/>
        <v>13.25</v>
      </c>
      <c r="I391" s="113"/>
      <c r="J391" s="113"/>
      <c r="K391" s="113">
        <f t="shared" si="35"/>
        <v>53</v>
      </c>
      <c r="L391" s="114" t="s">
        <v>604</v>
      </c>
      <c r="Y391"/>
    </row>
    <row r="392" spans="1:25" s="11" customFormat="1" ht="13.5">
      <c r="A392" s="76" t="s">
        <v>414</v>
      </c>
      <c r="B392" s="66" t="s">
        <v>201</v>
      </c>
      <c r="C392" s="65" t="s">
        <v>260</v>
      </c>
      <c r="D392" s="66" t="s">
        <v>410</v>
      </c>
      <c r="E392" s="62">
        <v>24</v>
      </c>
      <c r="F392" s="61">
        <v>1</v>
      </c>
      <c r="G392" s="121">
        <f t="shared" si="33"/>
        <v>24</v>
      </c>
      <c r="H392" s="113">
        <f t="shared" si="34"/>
        <v>12</v>
      </c>
      <c r="I392" s="113"/>
      <c r="J392" s="113"/>
      <c r="K392" s="113">
        <f t="shared" si="35"/>
        <v>12</v>
      </c>
      <c r="L392" s="114" t="s">
        <v>604</v>
      </c>
      <c r="Y392"/>
    </row>
    <row r="393" spans="1:25" s="11" customFormat="1" ht="13.5">
      <c r="A393" s="76" t="s">
        <v>415</v>
      </c>
      <c r="B393" s="61" t="s">
        <v>201</v>
      </c>
      <c r="C393" s="65" t="s">
        <v>260</v>
      </c>
      <c r="D393" s="64" t="s">
        <v>398</v>
      </c>
      <c r="E393" s="62">
        <v>17.5</v>
      </c>
      <c r="F393" s="61">
        <v>2</v>
      </c>
      <c r="G393" s="121">
        <f t="shared" si="33"/>
        <v>35</v>
      </c>
      <c r="H393" s="113">
        <f t="shared" si="34"/>
        <v>8.75</v>
      </c>
      <c r="I393" s="113"/>
      <c r="J393" s="113"/>
      <c r="K393" s="113">
        <f t="shared" si="35"/>
        <v>17.5</v>
      </c>
      <c r="L393" s="114" t="s">
        <v>604</v>
      </c>
      <c r="Y393"/>
    </row>
    <row r="394" spans="1:25" s="11" customFormat="1" ht="13.5">
      <c r="A394" s="76" t="s">
        <v>417</v>
      </c>
      <c r="B394" s="65" t="s">
        <v>201</v>
      </c>
      <c r="C394" s="65" t="s">
        <v>260</v>
      </c>
      <c r="D394" s="65" t="s">
        <v>416</v>
      </c>
      <c r="E394" s="62">
        <v>9.2</v>
      </c>
      <c r="F394" s="61">
        <v>1</v>
      </c>
      <c r="G394" s="121">
        <f t="shared" si="33"/>
        <v>9.2</v>
      </c>
      <c r="H394" s="113">
        <f t="shared" si="34"/>
        <v>4.6</v>
      </c>
      <c r="I394" s="113"/>
      <c r="J394" s="113"/>
      <c r="K394" s="113">
        <f t="shared" si="35"/>
        <v>4.6</v>
      </c>
      <c r="L394" s="114" t="s">
        <v>604</v>
      </c>
      <c r="Y394"/>
    </row>
    <row r="395" spans="1:25" s="11" customFormat="1" ht="13.5">
      <c r="A395" s="76" t="s">
        <v>418</v>
      </c>
      <c r="B395" s="65" t="s">
        <v>201</v>
      </c>
      <c r="C395" s="65" t="s">
        <v>260</v>
      </c>
      <c r="D395" s="65" t="s">
        <v>416</v>
      </c>
      <c r="E395" s="62">
        <v>9.2</v>
      </c>
      <c r="F395" s="61">
        <v>1</v>
      </c>
      <c r="G395" s="121">
        <f t="shared" si="33"/>
        <v>9.2</v>
      </c>
      <c r="H395" s="113">
        <f t="shared" si="34"/>
        <v>4.6</v>
      </c>
      <c r="I395" s="113"/>
      <c r="J395" s="113"/>
      <c r="K395" s="113">
        <f t="shared" si="35"/>
        <v>4.6</v>
      </c>
      <c r="L395" s="114" t="s">
        <v>604</v>
      </c>
      <c r="Y395"/>
    </row>
    <row r="396" spans="1:25" s="11" customFormat="1" ht="13.5">
      <c r="A396" s="76" t="s">
        <v>419</v>
      </c>
      <c r="B396" s="65" t="s">
        <v>201</v>
      </c>
      <c r="C396" s="65" t="s">
        <v>260</v>
      </c>
      <c r="D396" s="65" t="s">
        <v>416</v>
      </c>
      <c r="E396" s="62">
        <v>9.2</v>
      </c>
      <c r="F396" s="61">
        <v>1</v>
      </c>
      <c r="G396" s="121">
        <f t="shared" si="33"/>
        <v>9.2</v>
      </c>
      <c r="H396" s="113">
        <f t="shared" si="34"/>
        <v>4.6</v>
      </c>
      <c r="I396" s="113"/>
      <c r="J396" s="113"/>
      <c r="K396" s="113">
        <f t="shared" si="35"/>
        <v>4.6</v>
      </c>
      <c r="L396" s="114" t="s">
        <v>604</v>
      </c>
      <c r="Y396"/>
    </row>
    <row r="397" spans="1:25" s="11" customFormat="1" ht="13.5">
      <c r="A397" s="76" t="s">
        <v>421</v>
      </c>
      <c r="B397" s="64" t="s">
        <v>201</v>
      </c>
      <c r="C397" s="64" t="s">
        <v>260</v>
      </c>
      <c r="D397" s="64" t="s">
        <v>420</v>
      </c>
      <c r="E397" s="62">
        <v>7.6</v>
      </c>
      <c r="F397" s="61">
        <v>1</v>
      </c>
      <c r="G397" s="121">
        <f t="shared" si="33"/>
        <v>7.6</v>
      </c>
      <c r="H397" s="113">
        <f t="shared" si="34"/>
        <v>3.8</v>
      </c>
      <c r="I397" s="113"/>
      <c r="J397" s="113"/>
      <c r="K397" s="113">
        <f t="shared" si="35"/>
        <v>3.8</v>
      </c>
      <c r="L397" s="114" t="s">
        <v>604</v>
      </c>
      <c r="Y397"/>
    </row>
    <row r="398" spans="1:25" s="11" customFormat="1" ht="13.5">
      <c r="A398" s="76" t="s">
        <v>423</v>
      </c>
      <c r="B398" s="64" t="s">
        <v>201</v>
      </c>
      <c r="C398" s="64" t="s">
        <v>108</v>
      </c>
      <c r="D398" s="64" t="s">
        <v>422</v>
      </c>
      <c r="E398" s="62">
        <v>180</v>
      </c>
      <c r="F398" s="61">
        <v>1</v>
      </c>
      <c r="G398" s="121">
        <f t="shared" si="33"/>
        <v>180</v>
      </c>
      <c r="H398" s="113">
        <f t="shared" si="34"/>
        <v>90</v>
      </c>
      <c r="I398" s="113"/>
      <c r="J398" s="113"/>
      <c r="K398" s="113">
        <f t="shared" si="35"/>
        <v>90</v>
      </c>
      <c r="L398" s="114" t="s">
        <v>604</v>
      </c>
      <c r="Y398"/>
    </row>
    <row r="399" spans="1:25" s="11" customFormat="1" ht="13.5">
      <c r="A399" s="76" t="s">
        <v>424</v>
      </c>
      <c r="B399" s="65" t="s">
        <v>201</v>
      </c>
      <c r="C399" s="65" t="s">
        <v>260</v>
      </c>
      <c r="D399" s="65" t="s">
        <v>277</v>
      </c>
      <c r="E399" s="62">
        <v>18</v>
      </c>
      <c r="F399" s="61">
        <f>1</f>
        <v>1</v>
      </c>
      <c r="G399" s="121">
        <f t="shared" si="33"/>
        <v>18</v>
      </c>
      <c r="H399" s="113">
        <f t="shared" si="34"/>
        <v>9</v>
      </c>
      <c r="I399" s="113"/>
      <c r="J399" s="113"/>
      <c r="K399" s="113">
        <f t="shared" si="35"/>
        <v>9</v>
      </c>
      <c r="L399" s="114" t="s">
        <v>604</v>
      </c>
      <c r="Y399"/>
    </row>
    <row r="400" spans="1:25" s="11" customFormat="1" ht="13.5">
      <c r="A400" s="76" t="s">
        <v>425</v>
      </c>
      <c r="B400" s="65" t="s">
        <v>201</v>
      </c>
      <c r="C400" s="65" t="s">
        <v>260</v>
      </c>
      <c r="D400" s="65" t="s">
        <v>277</v>
      </c>
      <c r="E400" s="62">
        <v>18</v>
      </c>
      <c r="F400" s="61">
        <f>5</f>
        <v>5</v>
      </c>
      <c r="G400" s="121">
        <f t="shared" si="33"/>
        <v>90</v>
      </c>
      <c r="H400" s="113">
        <f t="shared" si="34"/>
        <v>9</v>
      </c>
      <c r="I400" s="113"/>
      <c r="J400" s="113"/>
      <c r="K400" s="113">
        <f t="shared" si="35"/>
        <v>45</v>
      </c>
      <c r="L400" s="114" t="s">
        <v>604</v>
      </c>
      <c r="Y400"/>
    </row>
    <row r="401" spans="1:25" s="11" customFormat="1" ht="13.5">
      <c r="A401" s="76" t="s">
        <v>426</v>
      </c>
      <c r="B401" s="65" t="s">
        <v>201</v>
      </c>
      <c r="C401" s="65" t="s">
        <v>260</v>
      </c>
      <c r="D401" s="65" t="s">
        <v>277</v>
      </c>
      <c r="E401" s="60">
        <v>18</v>
      </c>
      <c r="F401" s="61">
        <f>1</f>
        <v>1</v>
      </c>
      <c r="G401" s="121">
        <f t="shared" si="33"/>
        <v>18</v>
      </c>
      <c r="H401" s="113">
        <f t="shared" si="34"/>
        <v>9</v>
      </c>
      <c r="I401" s="113"/>
      <c r="J401" s="113"/>
      <c r="K401" s="113">
        <f t="shared" si="35"/>
        <v>9</v>
      </c>
      <c r="L401" s="114" t="s">
        <v>604</v>
      </c>
      <c r="Y401"/>
    </row>
    <row r="402" spans="1:25" s="11" customFormat="1" ht="13.5">
      <c r="A402" s="76" t="s">
        <v>427</v>
      </c>
      <c r="B402" s="64" t="s">
        <v>201</v>
      </c>
      <c r="C402" s="64" t="s">
        <v>108</v>
      </c>
      <c r="D402" s="64" t="s">
        <v>422</v>
      </c>
      <c r="E402" s="62">
        <v>120</v>
      </c>
      <c r="F402" s="61">
        <v>1</v>
      </c>
      <c r="G402" s="121">
        <f t="shared" si="33"/>
        <v>120</v>
      </c>
      <c r="H402" s="113">
        <f t="shared" si="34"/>
        <v>60</v>
      </c>
      <c r="I402" s="113"/>
      <c r="J402" s="113"/>
      <c r="K402" s="113">
        <f t="shared" si="35"/>
        <v>60</v>
      </c>
      <c r="L402" s="114" t="s">
        <v>604</v>
      </c>
      <c r="Y402"/>
    </row>
    <row r="403" spans="1:25" s="11" customFormat="1" ht="13.5">
      <c r="A403" s="76" t="s">
        <v>429</v>
      </c>
      <c r="B403" s="64" t="s">
        <v>162</v>
      </c>
      <c r="C403" s="65" t="s">
        <v>428</v>
      </c>
      <c r="D403" s="65" t="s">
        <v>186</v>
      </c>
      <c r="E403" s="62">
        <v>7.8</v>
      </c>
      <c r="F403" s="61">
        <f>240+250+250+248</f>
        <v>988</v>
      </c>
      <c r="G403" s="121">
        <f t="shared" si="33"/>
        <v>7706.4</v>
      </c>
      <c r="H403" s="113">
        <f t="shared" si="34"/>
        <v>3.9</v>
      </c>
      <c r="I403" s="113"/>
      <c r="J403" s="113"/>
      <c r="K403" s="113">
        <f t="shared" si="35"/>
        <v>3853.2</v>
      </c>
      <c r="L403" s="114" t="s">
        <v>604</v>
      </c>
      <c r="Y403"/>
    </row>
    <row r="404" spans="1:25" s="11" customFormat="1" ht="13.5">
      <c r="A404" s="76" t="s">
        <v>430</v>
      </c>
      <c r="B404" s="64" t="s">
        <v>248</v>
      </c>
      <c r="C404" s="64" t="s">
        <v>347</v>
      </c>
      <c r="D404" s="66" t="s">
        <v>250</v>
      </c>
      <c r="E404" s="62">
        <v>30</v>
      </c>
      <c r="F404" s="61">
        <f>16+5+7+6+(3*10)+(2*16)+14*10+20+20+8+6+20+5</f>
        <v>315</v>
      </c>
      <c r="G404" s="121">
        <f aca="true" t="shared" si="36" ref="G404:G420">F404*E404</f>
        <v>9450</v>
      </c>
      <c r="H404" s="113">
        <f aca="true" t="shared" si="37" ref="H404:H420">E404*0.5</f>
        <v>15</v>
      </c>
      <c r="I404" s="113"/>
      <c r="J404" s="113"/>
      <c r="K404" s="113">
        <f aca="true" t="shared" si="38" ref="K404:K420">H404*F404</f>
        <v>4725</v>
      </c>
      <c r="L404" s="114"/>
      <c r="Y404"/>
    </row>
    <row r="405" spans="1:25" s="11" customFormat="1" ht="13.5">
      <c r="A405" s="76" t="s">
        <v>432</v>
      </c>
      <c r="B405" s="65" t="s">
        <v>162</v>
      </c>
      <c r="C405" s="65" t="s">
        <v>431</v>
      </c>
      <c r="D405" s="66" t="s">
        <v>186</v>
      </c>
      <c r="E405" s="62">
        <v>34</v>
      </c>
      <c r="F405" s="61">
        <v>1</v>
      </c>
      <c r="G405" s="121">
        <f t="shared" si="36"/>
        <v>34</v>
      </c>
      <c r="H405" s="113">
        <f t="shared" si="37"/>
        <v>17</v>
      </c>
      <c r="I405" s="113"/>
      <c r="J405" s="113"/>
      <c r="K405" s="113">
        <f t="shared" si="38"/>
        <v>17</v>
      </c>
      <c r="L405" s="114" t="s">
        <v>604</v>
      </c>
      <c r="Y405"/>
    </row>
    <row r="406" spans="1:25" s="11" customFormat="1" ht="13.5">
      <c r="A406" s="76" t="s">
        <v>362</v>
      </c>
      <c r="B406" s="64" t="s">
        <v>201</v>
      </c>
      <c r="C406" s="65" t="s">
        <v>260</v>
      </c>
      <c r="D406" s="65" t="s">
        <v>416</v>
      </c>
      <c r="E406" s="62">
        <v>1.6</v>
      </c>
      <c r="F406" s="61">
        <f>134</f>
        <v>134</v>
      </c>
      <c r="G406" s="121">
        <f t="shared" si="36"/>
        <v>214.4</v>
      </c>
      <c r="H406" s="113">
        <f t="shared" si="37"/>
        <v>0.8</v>
      </c>
      <c r="I406" s="113"/>
      <c r="J406" s="113"/>
      <c r="K406" s="113">
        <f t="shared" si="38"/>
        <v>107.2</v>
      </c>
      <c r="L406" s="114" t="s">
        <v>604</v>
      </c>
      <c r="Y406"/>
    </row>
    <row r="407" spans="1:25" s="11" customFormat="1" ht="13.5">
      <c r="A407" s="76" t="s">
        <v>363</v>
      </c>
      <c r="B407" s="64" t="s">
        <v>201</v>
      </c>
      <c r="C407" s="65" t="s">
        <v>260</v>
      </c>
      <c r="D407" s="65" t="s">
        <v>416</v>
      </c>
      <c r="E407" s="62">
        <v>1.6</v>
      </c>
      <c r="F407" s="61">
        <f>144</f>
        <v>144</v>
      </c>
      <c r="G407" s="121">
        <f t="shared" si="36"/>
        <v>230.4</v>
      </c>
      <c r="H407" s="113">
        <f t="shared" si="37"/>
        <v>0.8</v>
      </c>
      <c r="I407" s="113"/>
      <c r="J407" s="113"/>
      <c r="K407" s="113">
        <f t="shared" si="38"/>
        <v>115.2</v>
      </c>
      <c r="L407" s="114" t="s">
        <v>604</v>
      </c>
      <c r="Y407"/>
    </row>
    <row r="408" spans="1:25" s="11" customFormat="1" ht="13.5">
      <c r="A408" s="76" t="s">
        <v>364</v>
      </c>
      <c r="B408" s="64" t="s">
        <v>201</v>
      </c>
      <c r="C408" s="65" t="s">
        <v>260</v>
      </c>
      <c r="D408" s="65" t="s">
        <v>416</v>
      </c>
      <c r="E408" s="62">
        <v>1.6</v>
      </c>
      <c r="F408" s="61">
        <f>136</f>
        <v>136</v>
      </c>
      <c r="G408" s="121">
        <f t="shared" si="36"/>
        <v>217.60000000000002</v>
      </c>
      <c r="H408" s="113">
        <f t="shared" si="37"/>
        <v>0.8</v>
      </c>
      <c r="I408" s="113"/>
      <c r="J408" s="113"/>
      <c r="K408" s="113">
        <f t="shared" si="38"/>
        <v>108.80000000000001</v>
      </c>
      <c r="L408" s="114" t="s">
        <v>604</v>
      </c>
      <c r="Y408"/>
    </row>
    <row r="409" spans="1:25" s="11" customFormat="1" ht="13.5">
      <c r="A409" s="76" t="s">
        <v>365</v>
      </c>
      <c r="B409" s="64" t="s">
        <v>201</v>
      </c>
      <c r="C409" s="65" t="s">
        <v>260</v>
      </c>
      <c r="D409" s="65" t="s">
        <v>416</v>
      </c>
      <c r="E409" s="62">
        <v>1.6</v>
      </c>
      <c r="F409" s="61">
        <f>136</f>
        <v>136</v>
      </c>
      <c r="G409" s="121">
        <f t="shared" si="36"/>
        <v>217.60000000000002</v>
      </c>
      <c r="H409" s="113">
        <f t="shared" si="37"/>
        <v>0.8</v>
      </c>
      <c r="I409" s="113"/>
      <c r="J409" s="113"/>
      <c r="K409" s="113">
        <f t="shared" si="38"/>
        <v>108.80000000000001</v>
      </c>
      <c r="L409" s="114" t="s">
        <v>604</v>
      </c>
      <c r="Y409"/>
    </row>
    <row r="410" spans="1:25" s="11" customFormat="1" ht="13.5">
      <c r="A410" s="76" t="s">
        <v>366</v>
      </c>
      <c r="B410" s="64" t="s">
        <v>201</v>
      </c>
      <c r="C410" s="65" t="s">
        <v>260</v>
      </c>
      <c r="D410" s="65" t="s">
        <v>416</v>
      </c>
      <c r="E410" s="62">
        <v>1.6</v>
      </c>
      <c r="F410" s="61">
        <f>130</f>
        <v>130</v>
      </c>
      <c r="G410" s="121">
        <f t="shared" si="36"/>
        <v>208</v>
      </c>
      <c r="H410" s="113">
        <f t="shared" si="37"/>
        <v>0.8</v>
      </c>
      <c r="I410" s="113"/>
      <c r="J410" s="113"/>
      <c r="K410" s="113">
        <f t="shared" si="38"/>
        <v>104</v>
      </c>
      <c r="L410" s="114" t="s">
        <v>604</v>
      </c>
      <c r="Y410"/>
    </row>
    <row r="411" spans="1:25" s="11" customFormat="1" ht="13.5">
      <c r="A411" s="76" t="s">
        <v>367</v>
      </c>
      <c r="B411" s="64" t="s">
        <v>201</v>
      </c>
      <c r="C411" s="65" t="s">
        <v>260</v>
      </c>
      <c r="D411" s="65" t="s">
        <v>416</v>
      </c>
      <c r="E411" s="62">
        <v>1.6</v>
      </c>
      <c r="F411" s="61">
        <f>145</f>
        <v>145</v>
      </c>
      <c r="G411" s="121">
        <f t="shared" si="36"/>
        <v>232</v>
      </c>
      <c r="H411" s="113">
        <f t="shared" si="37"/>
        <v>0.8</v>
      </c>
      <c r="I411" s="113"/>
      <c r="J411" s="113"/>
      <c r="K411" s="113">
        <f t="shared" si="38"/>
        <v>116</v>
      </c>
      <c r="L411" s="114" t="s">
        <v>604</v>
      </c>
      <c r="Y411"/>
    </row>
    <row r="412" spans="1:25" s="11" customFormat="1" ht="13.5">
      <c r="A412" s="76" t="s">
        <v>368</v>
      </c>
      <c r="B412" s="64" t="s">
        <v>201</v>
      </c>
      <c r="C412" s="65" t="s">
        <v>260</v>
      </c>
      <c r="D412" s="65" t="s">
        <v>416</v>
      </c>
      <c r="E412" s="62">
        <v>1.6</v>
      </c>
      <c r="F412" s="61">
        <f>131</f>
        <v>131</v>
      </c>
      <c r="G412" s="121">
        <f t="shared" si="36"/>
        <v>209.60000000000002</v>
      </c>
      <c r="H412" s="113">
        <f t="shared" si="37"/>
        <v>0.8</v>
      </c>
      <c r="I412" s="113"/>
      <c r="J412" s="113"/>
      <c r="K412" s="113">
        <f t="shared" si="38"/>
        <v>104.80000000000001</v>
      </c>
      <c r="L412" s="114" t="s">
        <v>604</v>
      </c>
      <c r="Y412"/>
    </row>
    <row r="413" spans="1:25" s="11" customFormat="1" ht="13.5">
      <c r="A413" s="76" t="s">
        <v>369</v>
      </c>
      <c r="B413" s="64" t="s">
        <v>201</v>
      </c>
      <c r="C413" s="65" t="s">
        <v>260</v>
      </c>
      <c r="D413" s="65" t="s">
        <v>416</v>
      </c>
      <c r="E413" s="62">
        <v>1.6</v>
      </c>
      <c r="F413" s="61">
        <f>135</f>
        <v>135</v>
      </c>
      <c r="G413" s="121">
        <f t="shared" si="36"/>
        <v>216</v>
      </c>
      <c r="H413" s="113">
        <f t="shared" si="37"/>
        <v>0.8</v>
      </c>
      <c r="I413" s="113"/>
      <c r="J413" s="113"/>
      <c r="K413" s="113">
        <f t="shared" si="38"/>
        <v>108</v>
      </c>
      <c r="L413" s="114" t="s">
        <v>604</v>
      </c>
      <c r="Y413"/>
    </row>
    <row r="414" spans="1:25" s="11" customFormat="1" ht="13.5">
      <c r="A414" s="76" t="s">
        <v>370</v>
      </c>
      <c r="B414" s="64" t="s">
        <v>201</v>
      </c>
      <c r="C414" s="65" t="s">
        <v>260</v>
      </c>
      <c r="D414" s="65" t="s">
        <v>416</v>
      </c>
      <c r="E414" s="62">
        <v>1.6</v>
      </c>
      <c r="F414" s="61">
        <f>149</f>
        <v>149</v>
      </c>
      <c r="G414" s="121">
        <f t="shared" si="36"/>
        <v>238.4</v>
      </c>
      <c r="H414" s="113">
        <f t="shared" si="37"/>
        <v>0.8</v>
      </c>
      <c r="I414" s="113"/>
      <c r="J414" s="113"/>
      <c r="K414" s="113">
        <f t="shared" si="38"/>
        <v>119.2</v>
      </c>
      <c r="L414" s="114" t="s">
        <v>604</v>
      </c>
      <c r="Y414"/>
    </row>
    <row r="415" spans="1:25" s="11" customFormat="1" ht="13.5">
      <c r="A415" s="76" t="s">
        <v>371</v>
      </c>
      <c r="B415" s="64" t="s">
        <v>201</v>
      </c>
      <c r="C415" s="65" t="s">
        <v>260</v>
      </c>
      <c r="D415" s="65" t="s">
        <v>416</v>
      </c>
      <c r="E415" s="62">
        <v>1.6</v>
      </c>
      <c r="F415" s="61">
        <f>137</f>
        <v>137</v>
      </c>
      <c r="G415" s="121">
        <f t="shared" si="36"/>
        <v>219.20000000000002</v>
      </c>
      <c r="H415" s="113">
        <f t="shared" si="37"/>
        <v>0.8</v>
      </c>
      <c r="I415" s="113"/>
      <c r="J415" s="113"/>
      <c r="K415" s="113">
        <f t="shared" si="38"/>
        <v>109.60000000000001</v>
      </c>
      <c r="L415" s="114" t="s">
        <v>604</v>
      </c>
      <c r="Y415"/>
    </row>
    <row r="416" spans="1:25" s="11" customFormat="1" ht="13.5">
      <c r="A416" s="76" t="s">
        <v>372</v>
      </c>
      <c r="B416" s="64" t="s">
        <v>201</v>
      </c>
      <c r="C416" s="65" t="s">
        <v>260</v>
      </c>
      <c r="D416" s="65" t="s">
        <v>416</v>
      </c>
      <c r="E416" s="62">
        <v>1.6</v>
      </c>
      <c r="F416" s="61">
        <f>145</f>
        <v>145</v>
      </c>
      <c r="G416" s="121">
        <f t="shared" si="36"/>
        <v>232</v>
      </c>
      <c r="H416" s="113">
        <f t="shared" si="37"/>
        <v>0.8</v>
      </c>
      <c r="I416" s="113"/>
      <c r="J416" s="113"/>
      <c r="K416" s="113">
        <f t="shared" si="38"/>
        <v>116</v>
      </c>
      <c r="L416" s="114" t="s">
        <v>604</v>
      </c>
      <c r="Y416"/>
    </row>
    <row r="417" spans="1:25" s="11" customFormat="1" ht="13.5">
      <c r="A417" s="76" t="s">
        <v>373</v>
      </c>
      <c r="B417" s="64" t="s">
        <v>201</v>
      </c>
      <c r="C417" s="65" t="s">
        <v>260</v>
      </c>
      <c r="D417" s="65" t="s">
        <v>416</v>
      </c>
      <c r="E417" s="62">
        <v>1.6</v>
      </c>
      <c r="F417" s="61">
        <f>136</f>
        <v>136</v>
      </c>
      <c r="G417" s="121">
        <f t="shared" si="36"/>
        <v>217.60000000000002</v>
      </c>
      <c r="H417" s="113">
        <f t="shared" si="37"/>
        <v>0.8</v>
      </c>
      <c r="I417" s="113"/>
      <c r="J417" s="113"/>
      <c r="K417" s="113">
        <f t="shared" si="38"/>
        <v>108.80000000000001</v>
      </c>
      <c r="L417" s="114" t="s">
        <v>604</v>
      </c>
      <c r="Y417"/>
    </row>
    <row r="418" spans="1:25" s="11" customFormat="1" ht="13.5">
      <c r="A418" s="76" t="s">
        <v>374</v>
      </c>
      <c r="B418" s="64" t="s">
        <v>201</v>
      </c>
      <c r="C418" s="65" t="s">
        <v>260</v>
      </c>
      <c r="D418" s="65" t="s">
        <v>416</v>
      </c>
      <c r="E418" s="62">
        <v>1.6</v>
      </c>
      <c r="F418" s="61">
        <f>141</f>
        <v>141</v>
      </c>
      <c r="G418" s="121">
        <f t="shared" si="36"/>
        <v>225.60000000000002</v>
      </c>
      <c r="H418" s="113">
        <f t="shared" si="37"/>
        <v>0.8</v>
      </c>
      <c r="I418" s="113"/>
      <c r="J418" s="113"/>
      <c r="K418" s="113">
        <f t="shared" si="38"/>
        <v>112.80000000000001</v>
      </c>
      <c r="L418" s="114" t="s">
        <v>604</v>
      </c>
      <c r="Y418"/>
    </row>
    <row r="419" spans="1:25" s="11" customFormat="1" ht="25.5">
      <c r="A419" s="76" t="s">
        <v>433</v>
      </c>
      <c r="B419" s="64" t="s">
        <v>248</v>
      </c>
      <c r="C419" s="67" t="s">
        <v>249</v>
      </c>
      <c r="D419" s="64" t="s">
        <v>250</v>
      </c>
      <c r="E419" s="62">
        <v>15.35</v>
      </c>
      <c r="F419" s="61">
        <f>31</f>
        <v>31</v>
      </c>
      <c r="G419" s="121">
        <f t="shared" si="36"/>
        <v>475.84999999999997</v>
      </c>
      <c r="H419" s="113">
        <f t="shared" si="37"/>
        <v>7.675</v>
      </c>
      <c r="I419" s="113"/>
      <c r="J419" s="113"/>
      <c r="K419" s="113">
        <f t="shared" si="38"/>
        <v>237.92499999999998</v>
      </c>
      <c r="L419" s="114" t="s">
        <v>604</v>
      </c>
      <c r="Y419"/>
    </row>
    <row r="420" spans="1:25" s="11" customFormat="1" ht="13.5">
      <c r="A420" s="76" t="s">
        <v>435</v>
      </c>
      <c r="B420" s="64" t="s">
        <v>248</v>
      </c>
      <c r="C420" s="64" t="s">
        <v>347</v>
      </c>
      <c r="D420" s="67" t="s">
        <v>434</v>
      </c>
      <c r="E420" s="62">
        <v>57.1</v>
      </c>
      <c r="F420" s="61">
        <f>1</f>
        <v>1</v>
      </c>
      <c r="G420" s="121">
        <f t="shared" si="36"/>
        <v>57.1</v>
      </c>
      <c r="H420" s="113">
        <f t="shared" si="37"/>
        <v>28.55</v>
      </c>
      <c r="I420" s="113"/>
      <c r="J420" s="113"/>
      <c r="K420" s="113">
        <f t="shared" si="38"/>
        <v>28.55</v>
      </c>
      <c r="L420" s="114" t="s">
        <v>604</v>
      </c>
      <c r="Y420"/>
    </row>
    <row r="421" spans="1:25" s="11" customFormat="1" ht="14.25" thickBot="1">
      <c r="A421" s="96" t="s">
        <v>583</v>
      </c>
      <c r="B421" s="64"/>
      <c r="C421" s="64"/>
      <c r="D421" s="67"/>
      <c r="E421" s="61"/>
      <c r="F421" s="70" t="s">
        <v>91</v>
      </c>
      <c r="G421" s="177">
        <f>SUM(G114:G420)</f>
        <v>55559.43399999997</v>
      </c>
      <c r="H421" s="113"/>
      <c r="I421" s="105"/>
      <c r="J421" s="105"/>
      <c r="K421" s="176"/>
      <c r="L421" s="114" t="s">
        <v>604</v>
      </c>
      <c r="Y421"/>
    </row>
    <row r="422" spans="2:25" s="11" customFormat="1" ht="15.75" thickTop="1">
      <c r="B422"/>
      <c r="C422" s="225" t="s">
        <v>612</v>
      </c>
      <c r="D422" s="225"/>
      <c r="E422" s="225"/>
      <c r="F422" s="225"/>
      <c r="G422" s="225"/>
      <c r="H422" s="105"/>
      <c r="I422" s="105"/>
      <c r="J422" s="105"/>
      <c r="K422" s="124">
        <f>SUM(K114:K421)</f>
        <v>27779.716999999986</v>
      </c>
      <c r="Y422"/>
    </row>
    <row r="423" spans="2:25" s="11" customFormat="1" ht="15.75" thickBot="1">
      <c r="B423"/>
      <c r="C423" s="103"/>
      <c r="D423" s="103"/>
      <c r="E423" s="103"/>
      <c r="F423" s="103"/>
      <c r="G423" s="103"/>
      <c r="H423" s="105"/>
      <c r="I423" s="105"/>
      <c r="J423" s="105"/>
      <c r="K423" s="124"/>
      <c r="Y423"/>
    </row>
    <row r="424" spans="1:25" s="11" customFormat="1" ht="22.5" customHeight="1" thickBot="1">
      <c r="A424" s="236" t="s">
        <v>584</v>
      </c>
      <c r="B424" s="237"/>
      <c r="C424" s="237"/>
      <c r="D424" s="237"/>
      <c r="E424" s="237"/>
      <c r="F424" s="237"/>
      <c r="G424" s="237"/>
      <c r="H424" s="237"/>
      <c r="I424" s="237"/>
      <c r="J424" s="237"/>
      <c r="K424" s="237"/>
      <c r="Y424"/>
    </row>
    <row r="425" spans="1:25" s="11" customFormat="1" ht="18.75" customHeight="1" thickBot="1">
      <c r="A425" s="108" t="s">
        <v>99</v>
      </c>
      <c r="B425" s="160" t="s">
        <v>586</v>
      </c>
      <c r="C425" s="161"/>
      <c r="D425" s="162"/>
      <c r="E425" s="109" t="s">
        <v>100</v>
      </c>
      <c r="F425" s="109" t="s">
        <v>585</v>
      </c>
      <c r="G425" s="104" t="s">
        <v>101</v>
      </c>
      <c r="H425" s="110" t="s">
        <v>597</v>
      </c>
      <c r="I425" s="128"/>
      <c r="J425" s="128"/>
      <c r="K425" s="110" t="s">
        <v>596</v>
      </c>
      <c r="L425" s="149"/>
      <c r="Y425"/>
    </row>
    <row r="426" spans="1:25" s="11" customFormat="1" ht="51.75">
      <c r="A426" s="76" t="s">
        <v>439</v>
      </c>
      <c r="B426" s="66" t="s">
        <v>436</v>
      </c>
      <c r="C426" s="66" t="s">
        <v>437</v>
      </c>
      <c r="D426" s="66" t="s">
        <v>438</v>
      </c>
      <c r="E426" s="62">
        <v>4</v>
      </c>
      <c r="F426" s="61">
        <f>134</f>
        <v>134</v>
      </c>
      <c r="G426" s="121">
        <f aca="true" t="shared" si="39" ref="G426:G452">F426*E426</f>
        <v>536</v>
      </c>
      <c r="H426" s="113">
        <f aca="true" t="shared" si="40" ref="H426:H452">E426*0.5</f>
        <v>2</v>
      </c>
      <c r="I426" s="113"/>
      <c r="J426" s="113"/>
      <c r="K426" s="113">
        <f aca="true" t="shared" si="41" ref="K426:K452">H426*F426</f>
        <v>268</v>
      </c>
      <c r="L426" s="110" t="s">
        <v>602</v>
      </c>
      <c r="Y426"/>
    </row>
    <row r="427" spans="1:25" s="11" customFormat="1" ht="13.5">
      <c r="A427" s="76" t="s">
        <v>440</v>
      </c>
      <c r="B427" s="66" t="s">
        <v>436</v>
      </c>
      <c r="C427" s="66" t="s">
        <v>437</v>
      </c>
      <c r="D427" s="66" t="s">
        <v>438</v>
      </c>
      <c r="E427" s="62">
        <v>4</v>
      </c>
      <c r="F427" s="61">
        <f>98</f>
        <v>98</v>
      </c>
      <c r="G427" s="121">
        <f t="shared" si="39"/>
        <v>392</v>
      </c>
      <c r="H427" s="113">
        <f t="shared" si="40"/>
        <v>2</v>
      </c>
      <c r="I427" s="113"/>
      <c r="J427" s="113"/>
      <c r="K427" s="113">
        <f t="shared" si="41"/>
        <v>196</v>
      </c>
      <c r="L427" s="114" t="s">
        <v>604</v>
      </c>
      <c r="Y427"/>
    </row>
    <row r="428" spans="1:25" s="11" customFormat="1" ht="13.5">
      <c r="A428" s="76" t="s">
        <v>441</v>
      </c>
      <c r="B428" s="66" t="s">
        <v>436</v>
      </c>
      <c r="C428" s="66" t="s">
        <v>437</v>
      </c>
      <c r="D428" s="66" t="s">
        <v>438</v>
      </c>
      <c r="E428" s="62">
        <v>4</v>
      </c>
      <c r="F428" s="61">
        <f>47+20+12</f>
        <v>79</v>
      </c>
      <c r="G428" s="121">
        <f t="shared" si="39"/>
        <v>316</v>
      </c>
      <c r="H428" s="113">
        <f t="shared" si="40"/>
        <v>2</v>
      </c>
      <c r="I428" s="113"/>
      <c r="J428" s="113"/>
      <c r="K428" s="113">
        <f t="shared" si="41"/>
        <v>158</v>
      </c>
      <c r="L428" s="114" t="s">
        <v>604</v>
      </c>
      <c r="Y428"/>
    </row>
    <row r="429" spans="1:25" s="11" customFormat="1" ht="13.5">
      <c r="A429" s="76" t="s">
        <v>444</v>
      </c>
      <c r="B429" s="66" t="s">
        <v>436</v>
      </c>
      <c r="C429" s="66" t="s">
        <v>442</v>
      </c>
      <c r="D429" s="66" t="s">
        <v>443</v>
      </c>
      <c r="E429" s="62">
        <v>0.11</v>
      </c>
      <c r="F429" s="61">
        <f>3000+3000+2180</f>
        <v>8180</v>
      </c>
      <c r="G429" s="121">
        <f t="shared" si="39"/>
        <v>899.8</v>
      </c>
      <c r="H429" s="113">
        <f t="shared" si="40"/>
        <v>0.055</v>
      </c>
      <c r="I429" s="113"/>
      <c r="J429" s="113"/>
      <c r="K429" s="113">
        <f t="shared" si="41"/>
        <v>449.9</v>
      </c>
      <c r="L429" s="114" t="s">
        <v>604</v>
      </c>
      <c r="Y429"/>
    </row>
    <row r="430" spans="1:25" s="11" customFormat="1" ht="13.5">
      <c r="A430" s="76" t="s">
        <v>445</v>
      </c>
      <c r="B430" s="66" t="s">
        <v>436</v>
      </c>
      <c r="C430" s="66" t="s">
        <v>437</v>
      </c>
      <c r="D430" s="66" t="s">
        <v>438</v>
      </c>
      <c r="E430" s="62">
        <v>4</v>
      </c>
      <c r="F430" s="61">
        <f>100+103</f>
        <v>203</v>
      </c>
      <c r="G430" s="121">
        <f t="shared" si="39"/>
        <v>812</v>
      </c>
      <c r="H430" s="113">
        <f t="shared" si="40"/>
        <v>2</v>
      </c>
      <c r="I430" s="113"/>
      <c r="J430" s="113"/>
      <c r="K430" s="113">
        <f t="shared" si="41"/>
        <v>406</v>
      </c>
      <c r="L430" s="114" t="s">
        <v>604</v>
      </c>
      <c r="Y430"/>
    </row>
    <row r="431" spans="1:25" s="11" customFormat="1" ht="13.5">
      <c r="A431" s="76" t="s">
        <v>446</v>
      </c>
      <c r="B431" s="66" t="s">
        <v>436</v>
      </c>
      <c r="C431" s="66" t="s">
        <v>437</v>
      </c>
      <c r="D431" s="66" t="s">
        <v>438</v>
      </c>
      <c r="E431" s="62">
        <v>4</v>
      </c>
      <c r="F431" s="61">
        <f>44</f>
        <v>44</v>
      </c>
      <c r="G431" s="121">
        <f t="shared" si="39"/>
        <v>176</v>
      </c>
      <c r="H431" s="113">
        <f t="shared" si="40"/>
        <v>2</v>
      </c>
      <c r="I431" s="113"/>
      <c r="J431" s="113"/>
      <c r="K431" s="113">
        <f t="shared" si="41"/>
        <v>88</v>
      </c>
      <c r="L431" s="114" t="s">
        <v>604</v>
      </c>
      <c r="Y431"/>
    </row>
    <row r="432" spans="1:25" s="11" customFormat="1" ht="13.5">
      <c r="A432" s="76" t="s">
        <v>447</v>
      </c>
      <c r="B432" s="66" t="s">
        <v>436</v>
      </c>
      <c r="C432" s="66" t="s">
        <v>437</v>
      </c>
      <c r="D432" s="66" t="s">
        <v>438</v>
      </c>
      <c r="E432" s="62">
        <v>4</v>
      </c>
      <c r="F432" s="61">
        <f>23</f>
        <v>23</v>
      </c>
      <c r="G432" s="121">
        <f t="shared" si="39"/>
        <v>92</v>
      </c>
      <c r="H432" s="113">
        <f t="shared" si="40"/>
        <v>2</v>
      </c>
      <c r="I432" s="113"/>
      <c r="J432" s="113"/>
      <c r="K432" s="113">
        <f t="shared" si="41"/>
        <v>46</v>
      </c>
      <c r="L432" s="114" t="s">
        <v>604</v>
      </c>
      <c r="Y432"/>
    </row>
    <row r="433" spans="1:25" s="11" customFormat="1" ht="13.5">
      <c r="A433" s="76" t="s">
        <v>448</v>
      </c>
      <c r="B433" s="66" t="s">
        <v>436</v>
      </c>
      <c r="C433" s="66" t="s">
        <v>437</v>
      </c>
      <c r="D433" s="66" t="s">
        <v>438</v>
      </c>
      <c r="E433" s="62">
        <v>3</v>
      </c>
      <c r="F433" s="61">
        <f>168</f>
        <v>168</v>
      </c>
      <c r="G433" s="121">
        <f t="shared" si="39"/>
        <v>504</v>
      </c>
      <c r="H433" s="113">
        <f t="shared" si="40"/>
        <v>1.5</v>
      </c>
      <c r="I433" s="113"/>
      <c r="J433" s="113"/>
      <c r="K433" s="113">
        <f t="shared" si="41"/>
        <v>252</v>
      </c>
      <c r="L433" s="114" t="s">
        <v>604</v>
      </c>
      <c r="Y433"/>
    </row>
    <row r="434" spans="1:25" s="11" customFormat="1" ht="14.25" thickBot="1">
      <c r="A434" s="86" t="s">
        <v>451</v>
      </c>
      <c r="B434" s="97" t="s">
        <v>436</v>
      </c>
      <c r="C434" s="97" t="s">
        <v>449</v>
      </c>
      <c r="D434" s="97" t="s">
        <v>450</v>
      </c>
      <c r="E434" s="80">
        <v>2.01</v>
      </c>
      <c r="F434" s="81">
        <f>46</f>
        <v>46</v>
      </c>
      <c r="G434" s="122">
        <f t="shared" si="39"/>
        <v>92.46</v>
      </c>
      <c r="H434" s="113">
        <f t="shared" si="40"/>
        <v>1.005</v>
      </c>
      <c r="I434" s="113"/>
      <c r="J434" s="113"/>
      <c r="K434" s="113">
        <f t="shared" si="41"/>
        <v>46.23</v>
      </c>
      <c r="L434" s="114" t="s">
        <v>604</v>
      </c>
      <c r="Y434"/>
    </row>
    <row r="435" spans="1:25" s="11" customFormat="1" ht="25.5">
      <c r="A435" s="87" t="s">
        <v>453</v>
      </c>
      <c r="B435" s="92" t="s">
        <v>436</v>
      </c>
      <c r="C435" s="92" t="s">
        <v>442</v>
      </c>
      <c r="D435" s="92" t="s">
        <v>452</v>
      </c>
      <c r="E435" s="84">
        <v>1.03</v>
      </c>
      <c r="F435" s="85">
        <f>70+68+70</f>
        <v>208</v>
      </c>
      <c r="G435" s="123">
        <f t="shared" si="39"/>
        <v>214.24</v>
      </c>
      <c r="H435" s="113">
        <f t="shared" si="40"/>
        <v>0.515</v>
      </c>
      <c r="I435" s="113"/>
      <c r="J435" s="113"/>
      <c r="K435" s="113">
        <f t="shared" si="41"/>
        <v>107.12</v>
      </c>
      <c r="L435" s="114" t="s">
        <v>604</v>
      </c>
      <c r="Y435"/>
    </row>
    <row r="436" spans="1:25" s="11" customFormat="1" ht="25.5">
      <c r="A436" s="76" t="s">
        <v>454</v>
      </c>
      <c r="B436" s="66" t="s">
        <v>436</v>
      </c>
      <c r="C436" s="66" t="s">
        <v>442</v>
      </c>
      <c r="D436" s="66" t="s">
        <v>452</v>
      </c>
      <c r="E436" s="62">
        <v>1.03</v>
      </c>
      <c r="F436" s="61">
        <f>160+92+64</f>
        <v>316</v>
      </c>
      <c r="G436" s="121">
        <f t="shared" si="39"/>
        <v>325.48</v>
      </c>
      <c r="H436" s="113">
        <f t="shared" si="40"/>
        <v>0.515</v>
      </c>
      <c r="I436" s="113"/>
      <c r="J436" s="113"/>
      <c r="K436" s="113">
        <f t="shared" si="41"/>
        <v>162.74</v>
      </c>
      <c r="L436" s="114" t="s">
        <v>604</v>
      </c>
      <c r="Y436"/>
    </row>
    <row r="437" spans="1:25" s="11" customFormat="1" ht="25.5">
      <c r="A437" s="76" t="s">
        <v>455</v>
      </c>
      <c r="B437" s="66" t="s">
        <v>436</v>
      </c>
      <c r="C437" s="66" t="s">
        <v>442</v>
      </c>
      <c r="D437" s="66" t="s">
        <v>452</v>
      </c>
      <c r="E437" s="62">
        <v>1.03</v>
      </c>
      <c r="F437" s="61">
        <f>70+100+70+70+34</f>
        <v>344</v>
      </c>
      <c r="G437" s="121">
        <f t="shared" si="39"/>
        <v>354.32</v>
      </c>
      <c r="H437" s="113">
        <f t="shared" si="40"/>
        <v>0.515</v>
      </c>
      <c r="I437" s="113"/>
      <c r="J437" s="113"/>
      <c r="K437" s="113">
        <f t="shared" si="41"/>
        <v>177.16</v>
      </c>
      <c r="L437" s="114" t="s">
        <v>604</v>
      </c>
      <c r="Y437"/>
    </row>
    <row r="438" spans="1:25" s="11" customFormat="1" ht="25.5">
      <c r="A438" s="76" t="s">
        <v>456</v>
      </c>
      <c r="B438" s="66" t="s">
        <v>436</v>
      </c>
      <c r="C438" s="66" t="s">
        <v>442</v>
      </c>
      <c r="D438" s="66" t="s">
        <v>452</v>
      </c>
      <c r="E438" s="62">
        <v>1.89</v>
      </c>
      <c r="F438" s="61">
        <f>127+140+94</f>
        <v>361</v>
      </c>
      <c r="G438" s="121">
        <f t="shared" si="39"/>
        <v>682.29</v>
      </c>
      <c r="H438" s="113">
        <f t="shared" si="40"/>
        <v>0.945</v>
      </c>
      <c r="I438" s="113"/>
      <c r="J438" s="113"/>
      <c r="K438" s="113">
        <f t="shared" si="41"/>
        <v>341.145</v>
      </c>
      <c r="L438" s="114" t="s">
        <v>604</v>
      </c>
      <c r="Y438"/>
    </row>
    <row r="439" spans="1:25" s="11" customFormat="1" ht="13.5">
      <c r="A439" s="76" t="s">
        <v>458</v>
      </c>
      <c r="B439" s="66" t="s">
        <v>436</v>
      </c>
      <c r="C439" s="66" t="s">
        <v>442</v>
      </c>
      <c r="D439" s="66" t="s">
        <v>457</v>
      </c>
      <c r="E439" s="62">
        <v>1.96</v>
      </c>
      <c r="F439" s="61">
        <f>100+100</f>
        <v>200</v>
      </c>
      <c r="G439" s="121">
        <f t="shared" si="39"/>
        <v>392</v>
      </c>
      <c r="H439" s="113">
        <f t="shared" si="40"/>
        <v>0.98</v>
      </c>
      <c r="I439" s="113"/>
      <c r="J439" s="113"/>
      <c r="K439" s="113">
        <f t="shared" si="41"/>
        <v>196</v>
      </c>
      <c r="L439" s="114" t="s">
        <v>604</v>
      </c>
      <c r="Y439"/>
    </row>
    <row r="440" spans="1:25" s="11" customFormat="1" ht="13.5">
      <c r="A440" s="76" t="s">
        <v>459</v>
      </c>
      <c r="B440" s="66" t="s">
        <v>436</v>
      </c>
      <c r="C440" s="66" t="s">
        <v>442</v>
      </c>
      <c r="D440" s="66" t="s">
        <v>457</v>
      </c>
      <c r="E440" s="62">
        <v>1.96</v>
      </c>
      <c r="F440" s="61">
        <f>100</f>
        <v>100</v>
      </c>
      <c r="G440" s="121">
        <f t="shared" si="39"/>
        <v>196</v>
      </c>
      <c r="H440" s="113">
        <f t="shared" si="40"/>
        <v>0.98</v>
      </c>
      <c r="I440" s="113"/>
      <c r="J440" s="113"/>
      <c r="K440" s="113">
        <f t="shared" si="41"/>
        <v>98</v>
      </c>
      <c r="L440" s="114" t="s">
        <v>604</v>
      </c>
      <c r="Y440"/>
    </row>
    <row r="441" spans="1:25" s="11" customFormat="1" ht="13.5">
      <c r="A441" s="76" t="s">
        <v>460</v>
      </c>
      <c r="B441" s="66" t="s">
        <v>436</v>
      </c>
      <c r="C441" s="66" t="s">
        <v>442</v>
      </c>
      <c r="D441" s="66" t="s">
        <v>457</v>
      </c>
      <c r="E441" s="62">
        <v>1.96</v>
      </c>
      <c r="F441" s="61">
        <f>86+100+100+100+472+78+100+100</f>
        <v>1136</v>
      </c>
      <c r="G441" s="121">
        <f t="shared" si="39"/>
        <v>2226.56</v>
      </c>
      <c r="H441" s="113">
        <f t="shared" si="40"/>
        <v>0.98</v>
      </c>
      <c r="I441" s="113"/>
      <c r="J441" s="113"/>
      <c r="K441" s="113">
        <f t="shared" si="41"/>
        <v>1113.28</v>
      </c>
      <c r="L441" s="114" t="s">
        <v>604</v>
      </c>
      <c r="Y441"/>
    </row>
    <row r="442" spans="1:25" s="11" customFormat="1" ht="13.5">
      <c r="A442" s="76" t="s">
        <v>461</v>
      </c>
      <c r="B442" s="66" t="s">
        <v>436</v>
      </c>
      <c r="C442" s="66" t="s">
        <v>442</v>
      </c>
      <c r="D442" s="66" t="s">
        <v>457</v>
      </c>
      <c r="E442" s="62">
        <v>1.96</v>
      </c>
      <c r="F442" s="61">
        <f>100+100</f>
        <v>200</v>
      </c>
      <c r="G442" s="121">
        <f t="shared" si="39"/>
        <v>392</v>
      </c>
      <c r="H442" s="113">
        <f t="shared" si="40"/>
        <v>0.98</v>
      </c>
      <c r="I442" s="113"/>
      <c r="J442" s="113"/>
      <c r="K442" s="113">
        <f t="shared" si="41"/>
        <v>196</v>
      </c>
      <c r="L442" s="114" t="s">
        <v>604</v>
      </c>
      <c r="Y442"/>
    </row>
    <row r="443" spans="1:25" s="11" customFormat="1" ht="13.5">
      <c r="A443" s="76" t="s">
        <v>462</v>
      </c>
      <c r="B443" s="66" t="s">
        <v>436</v>
      </c>
      <c r="C443" s="66" t="s">
        <v>442</v>
      </c>
      <c r="D443" s="66" t="s">
        <v>457</v>
      </c>
      <c r="E443" s="62">
        <v>1.96</v>
      </c>
      <c r="F443" s="61">
        <f>100+96+100</f>
        <v>296</v>
      </c>
      <c r="G443" s="121">
        <f t="shared" si="39"/>
        <v>580.16</v>
      </c>
      <c r="H443" s="113">
        <f t="shared" si="40"/>
        <v>0.98</v>
      </c>
      <c r="I443" s="113"/>
      <c r="J443" s="113"/>
      <c r="K443" s="113">
        <f t="shared" si="41"/>
        <v>290.08</v>
      </c>
      <c r="L443" s="114" t="s">
        <v>604</v>
      </c>
      <c r="Y443"/>
    </row>
    <row r="444" spans="1:25" s="11" customFormat="1" ht="13.5">
      <c r="A444" s="76" t="s">
        <v>464</v>
      </c>
      <c r="B444" s="66" t="s">
        <v>436</v>
      </c>
      <c r="C444" s="66" t="s">
        <v>437</v>
      </c>
      <c r="D444" s="66" t="s">
        <v>463</v>
      </c>
      <c r="E444" s="62">
        <v>6</v>
      </c>
      <c r="F444" s="61">
        <f>37</f>
        <v>37</v>
      </c>
      <c r="G444" s="121">
        <f t="shared" si="39"/>
        <v>222</v>
      </c>
      <c r="H444" s="113">
        <f t="shared" si="40"/>
        <v>3</v>
      </c>
      <c r="I444" s="113"/>
      <c r="J444" s="113"/>
      <c r="K444" s="113">
        <f t="shared" si="41"/>
        <v>111</v>
      </c>
      <c r="L444" s="114" t="s">
        <v>604</v>
      </c>
      <c r="Y444"/>
    </row>
    <row r="445" spans="1:25" s="11" customFormat="1" ht="13.5">
      <c r="A445" s="76" t="s">
        <v>466</v>
      </c>
      <c r="B445" s="66" t="s">
        <v>436</v>
      </c>
      <c r="C445" s="66" t="s">
        <v>449</v>
      </c>
      <c r="D445" s="66" t="s">
        <v>465</v>
      </c>
      <c r="E445" s="62">
        <v>1.96</v>
      </c>
      <c r="F445" s="61">
        <f>48</f>
        <v>48</v>
      </c>
      <c r="G445" s="121">
        <f t="shared" si="39"/>
        <v>94.08</v>
      </c>
      <c r="H445" s="113">
        <f t="shared" si="40"/>
        <v>0.98</v>
      </c>
      <c r="I445" s="113"/>
      <c r="J445" s="113"/>
      <c r="K445" s="113">
        <f t="shared" si="41"/>
        <v>47.04</v>
      </c>
      <c r="L445" s="114" t="s">
        <v>604</v>
      </c>
      <c r="Y445"/>
    </row>
    <row r="446" spans="1:25" s="11" customFormat="1" ht="13.5">
      <c r="A446" s="76" t="s">
        <v>469</v>
      </c>
      <c r="B446" s="66" t="s">
        <v>436</v>
      </c>
      <c r="C446" s="66" t="s">
        <v>467</v>
      </c>
      <c r="D446" s="66" t="s">
        <v>468</v>
      </c>
      <c r="E446" s="62">
        <v>2.3</v>
      </c>
      <c r="F446" s="61">
        <f>20+20+30+10</f>
        <v>80</v>
      </c>
      <c r="G446" s="121">
        <f t="shared" si="39"/>
        <v>184</v>
      </c>
      <c r="H446" s="113">
        <f t="shared" si="40"/>
        <v>1.15</v>
      </c>
      <c r="I446" s="113"/>
      <c r="J446" s="113"/>
      <c r="K446" s="113">
        <f t="shared" si="41"/>
        <v>92</v>
      </c>
      <c r="L446" s="114" t="s">
        <v>604</v>
      </c>
      <c r="Y446"/>
    </row>
    <row r="447" spans="1:25" s="11" customFormat="1" ht="13.5">
      <c r="A447" s="76" t="s">
        <v>471</v>
      </c>
      <c r="B447" s="66" t="s">
        <v>436</v>
      </c>
      <c r="C447" s="66" t="s">
        <v>449</v>
      </c>
      <c r="D447" s="66" t="s">
        <v>470</v>
      </c>
      <c r="E447" s="62">
        <v>45</v>
      </c>
      <c r="F447" s="61">
        <f>12</f>
        <v>12</v>
      </c>
      <c r="G447" s="121">
        <f t="shared" si="39"/>
        <v>540</v>
      </c>
      <c r="H447" s="113">
        <f t="shared" si="40"/>
        <v>22.5</v>
      </c>
      <c r="I447" s="113"/>
      <c r="J447" s="113"/>
      <c r="K447" s="113">
        <f t="shared" si="41"/>
        <v>270</v>
      </c>
      <c r="L447" s="114" t="s">
        <v>604</v>
      </c>
      <c r="Y447"/>
    </row>
    <row r="448" spans="1:25" s="11" customFormat="1" ht="13.5">
      <c r="A448" s="76" t="s">
        <v>473</v>
      </c>
      <c r="B448" s="66" t="s">
        <v>436</v>
      </c>
      <c r="C448" s="66" t="s">
        <v>437</v>
      </c>
      <c r="D448" s="66" t="s">
        <v>472</v>
      </c>
      <c r="E448" s="62">
        <v>7.1</v>
      </c>
      <c r="F448" s="61">
        <f>37</f>
        <v>37</v>
      </c>
      <c r="G448" s="121">
        <f t="shared" si="39"/>
        <v>262.7</v>
      </c>
      <c r="H448" s="113">
        <f t="shared" si="40"/>
        <v>3.55</v>
      </c>
      <c r="I448" s="113"/>
      <c r="J448" s="113"/>
      <c r="K448" s="113">
        <f t="shared" si="41"/>
        <v>131.35</v>
      </c>
      <c r="L448" s="114" t="s">
        <v>604</v>
      </c>
      <c r="Y448"/>
    </row>
    <row r="449" spans="1:25" s="11" customFormat="1" ht="13.5">
      <c r="A449" s="76" t="s">
        <v>474</v>
      </c>
      <c r="B449" s="66" t="s">
        <v>436</v>
      </c>
      <c r="C449" s="66" t="s">
        <v>437</v>
      </c>
      <c r="D449" s="66" t="s">
        <v>472</v>
      </c>
      <c r="E449" s="62">
        <v>6.45</v>
      </c>
      <c r="F449" s="61">
        <f>18</f>
        <v>18</v>
      </c>
      <c r="G449" s="121">
        <f t="shared" si="39"/>
        <v>116.10000000000001</v>
      </c>
      <c r="H449" s="113">
        <f t="shared" si="40"/>
        <v>3.225</v>
      </c>
      <c r="I449" s="113"/>
      <c r="J449" s="113"/>
      <c r="K449" s="113">
        <f t="shared" si="41"/>
        <v>58.050000000000004</v>
      </c>
      <c r="L449" s="114" t="s">
        <v>604</v>
      </c>
      <c r="Y449"/>
    </row>
    <row r="450" spans="1:25" s="11" customFormat="1" ht="13.5">
      <c r="A450" s="76" t="s">
        <v>476</v>
      </c>
      <c r="B450" s="66" t="s">
        <v>436</v>
      </c>
      <c r="C450" s="66" t="s">
        <v>449</v>
      </c>
      <c r="D450" s="66" t="s">
        <v>475</v>
      </c>
      <c r="E450" s="62">
        <v>20.2</v>
      </c>
      <c r="F450" s="61">
        <f>7+6+5</f>
        <v>18</v>
      </c>
      <c r="G450" s="121">
        <f t="shared" si="39"/>
        <v>363.59999999999997</v>
      </c>
      <c r="H450" s="113">
        <f t="shared" si="40"/>
        <v>10.1</v>
      </c>
      <c r="I450" s="113"/>
      <c r="J450" s="113"/>
      <c r="K450" s="113">
        <f t="shared" si="41"/>
        <v>181.79999999999998</v>
      </c>
      <c r="L450" s="114" t="s">
        <v>604</v>
      </c>
      <c r="Y450"/>
    </row>
    <row r="451" spans="1:25" s="11" customFormat="1" ht="13.5">
      <c r="A451" s="76" t="s">
        <v>480</v>
      </c>
      <c r="B451" s="66" t="s">
        <v>477</v>
      </c>
      <c r="C451" s="66" t="s">
        <v>478</v>
      </c>
      <c r="D451" s="66" t="s">
        <v>479</v>
      </c>
      <c r="E451" s="62">
        <v>86</v>
      </c>
      <c r="F451" s="61">
        <f>1</f>
        <v>1</v>
      </c>
      <c r="G451" s="121">
        <f t="shared" si="39"/>
        <v>86</v>
      </c>
      <c r="H451" s="113">
        <f t="shared" si="40"/>
        <v>43</v>
      </c>
      <c r="I451" s="113"/>
      <c r="J451" s="113"/>
      <c r="K451" s="113">
        <f t="shared" si="41"/>
        <v>43</v>
      </c>
      <c r="L451" s="114" t="s">
        <v>604</v>
      </c>
      <c r="Y451"/>
    </row>
    <row r="452" spans="1:25" s="11" customFormat="1" ht="13.5">
      <c r="A452" s="76" t="s">
        <v>482</v>
      </c>
      <c r="B452" s="66" t="s">
        <v>477</v>
      </c>
      <c r="C452" s="66" t="s">
        <v>478</v>
      </c>
      <c r="D452" s="66" t="s">
        <v>481</v>
      </c>
      <c r="E452" s="62">
        <v>63</v>
      </c>
      <c r="F452" s="61">
        <f>9</f>
        <v>9</v>
      </c>
      <c r="G452" s="121">
        <f t="shared" si="39"/>
        <v>567</v>
      </c>
      <c r="H452" s="113">
        <f t="shared" si="40"/>
        <v>31.5</v>
      </c>
      <c r="I452" s="113"/>
      <c r="J452" s="113"/>
      <c r="K452" s="113">
        <f t="shared" si="41"/>
        <v>283.5</v>
      </c>
      <c r="L452" s="114" t="s">
        <v>604</v>
      </c>
      <c r="Y452"/>
    </row>
    <row r="453" spans="1:25" s="11" customFormat="1" ht="13.5">
      <c r="A453" s="76"/>
      <c r="B453" s="66"/>
      <c r="C453" s="66"/>
      <c r="D453" s="66"/>
      <c r="E453" s="62"/>
      <c r="F453" s="61"/>
      <c r="G453" s="121"/>
      <c r="H453" s="113"/>
      <c r="I453" s="113"/>
      <c r="J453" s="113"/>
      <c r="K453" s="113"/>
      <c r="L453" s="114" t="s">
        <v>604</v>
      </c>
      <c r="Y453"/>
    </row>
    <row r="454" spans="1:25" s="11" customFormat="1" ht="13.5">
      <c r="A454" s="76" t="s">
        <v>484</v>
      </c>
      <c r="B454" s="66" t="s">
        <v>477</v>
      </c>
      <c r="C454" s="66" t="s">
        <v>478</v>
      </c>
      <c r="D454" s="66" t="s">
        <v>483</v>
      </c>
      <c r="E454" s="62">
        <v>38</v>
      </c>
      <c r="F454" s="61">
        <f>18</f>
        <v>18</v>
      </c>
      <c r="G454" s="121">
        <f>F454*E454</f>
        <v>684</v>
      </c>
      <c r="H454" s="113">
        <f>E454*0.5</f>
        <v>19</v>
      </c>
      <c r="I454" s="113"/>
      <c r="J454" s="113"/>
      <c r="K454" s="113">
        <f>H454*F454</f>
        <v>342</v>
      </c>
      <c r="L454" s="114"/>
      <c r="Y454"/>
    </row>
    <row r="455" spans="1:25" s="11" customFormat="1" ht="13.5">
      <c r="A455" s="76"/>
      <c r="B455" s="66"/>
      <c r="C455" s="66"/>
      <c r="D455" s="66"/>
      <c r="E455" s="62"/>
      <c r="F455" s="61"/>
      <c r="G455" s="121"/>
      <c r="H455" s="113"/>
      <c r="I455" s="113"/>
      <c r="J455" s="113"/>
      <c r="K455" s="113"/>
      <c r="L455" s="114" t="s">
        <v>604</v>
      </c>
      <c r="Y455"/>
    </row>
    <row r="456" spans="1:25" s="11" customFormat="1" ht="13.5">
      <c r="A456" s="76" t="s">
        <v>485</v>
      </c>
      <c r="B456" s="66" t="s">
        <v>477</v>
      </c>
      <c r="C456" s="66" t="s">
        <v>478</v>
      </c>
      <c r="D456" s="66" t="s">
        <v>481</v>
      </c>
      <c r="E456" s="62">
        <v>62</v>
      </c>
      <c r="F456" s="61">
        <f>6</f>
        <v>6</v>
      </c>
      <c r="G456" s="121">
        <f aca="true" t="shared" si="42" ref="G456:G487">F456*E456</f>
        <v>372</v>
      </c>
      <c r="H456" s="113">
        <f aca="true" t="shared" si="43" ref="H456:H487">E456*0.5</f>
        <v>31</v>
      </c>
      <c r="I456" s="113"/>
      <c r="J456" s="113"/>
      <c r="K456" s="113">
        <f aca="true" t="shared" si="44" ref="K456:K487">H456*F456</f>
        <v>186</v>
      </c>
      <c r="L456" s="114"/>
      <c r="Y456"/>
    </row>
    <row r="457" spans="1:25" s="11" customFormat="1" ht="13.5">
      <c r="A457" s="76" t="s">
        <v>486</v>
      </c>
      <c r="B457" s="66" t="s">
        <v>477</v>
      </c>
      <c r="C457" s="66" t="s">
        <v>478</v>
      </c>
      <c r="D457" s="66" t="s">
        <v>479</v>
      </c>
      <c r="E457" s="62">
        <v>24</v>
      </c>
      <c r="F457" s="61">
        <f>5</f>
        <v>5</v>
      </c>
      <c r="G457" s="121">
        <f t="shared" si="42"/>
        <v>120</v>
      </c>
      <c r="H457" s="113">
        <f t="shared" si="43"/>
        <v>12</v>
      </c>
      <c r="I457" s="113"/>
      <c r="J457" s="113"/>
      <c r="K457" s="113">
        <f t="shared" si="44"/>
        <v>60</v>
      </c>
      <c r="L457" s="114" t="s">
        <v>604</v>
      </c>
      <c r="Y457"/>
    </row>
    <row r="458" spans="1:25" s="11" customFormat="1" ht="13.5">
      <c r="A458" s="76" t="s">
        <v>488</v>
      </c>
      <c r="B458" s="66" t="s">
        <v>436</v>
      </c>
      <c r="C458" s="66" t="s">
        <v>437</v>
      </c>
      <c r="D458" s="66" t="s">
        <v>487</v>
      </c>
      <c r="E458" s="62">
        <v>6</v>
      </c>
      <c r="F458" s="61">
        <f>35</f>
        <v>35</v>
      </c>
      <c r="G458" s="121">
        <f t="shared" si="42"/>
        <v>210</v>
      </c>
      <c r="H458" s="113">
        <f t="shared" si="43"/>
        <v>3</v>
      </c>
      <c r="I458" s="113"/>
      <c r="J458" s="113"/>
      <c r="K458" s="113">
        <f t="shared" si="44"/>
        <v>105</v>
      </c>
      <c r="L458" s="114" t="s">
        <v>604</v>
      </c>
      <c r="Y458"/>
    </row>
    <row r="459" spans="1:25" s="11" customFormat="1" ht="13.5">
      <c r="A459" s="76" t="s">
        <v>489</v>
      </c>
      <c r="B459" s="66" t="s">
        <v>436</v>
      </c>
      <c r="C459" s="66" t="s">
        <v>437</v>
      </c>
      <c r="D459" s="66" t="s">
        <v>487</v>
      </c>
      <c r="E459" s="62">
        <v>6</v>
      </c>
      <c r="F459" s="61">
        <f>28</f>
        <v>28</v>
      </c>
      <c r="G459" s="121">
        <f t="shared" si="42"/>
        <v>168</v>
      </c>
      <c r="H459" s="113">
        <f t="shared" si="43"/>
        <v>3</v>
      </c>
      <c r="I459" s="113"/>
      <c r="J459" s="113"/>
      <c r="K459" s="113">
        <f t="shared" si="44"/>
        <v>84</v>
      </c>
      <c r="L459" s="114" t="s">
        <v>604</v>
      </c>
      <c r="Y459"/>
    </row>
    <row r="460" spans="1:25" s="11" customFormat="1" ht="13.5">
      <c r="A460" s="76" t="s">
        <v>490</v>
      </c>
      <c r="B460" s="66" t="s">
        <v>477</v>
      </c>
      <c r="C460" s="66" t="s">
        <v>478</v>
      </c>
      <c r="D460" s="66" t="s">
        <v>479</v>
      </c>
      <c r="E460" s="62">
        <v>16.9</v>
      </c>
      <c r="F460" s="61">
        <f>35</f>
        <v>35</v>
      </c>
      <c r="G460" s="121">
        <f t="shared" si="42"/>
        <v>591.5</v>
      </c>
      <c r="H460" s="113">
        <f t="shared" si="43"/>
        <v>8.45</v>
      </c>
      <c r="I460" s="113"/>
      <c r="J460" s="113"/>
      <c r="K460" s="113">
        <f t="shared" si="44"/>
        <v>295.75</v>
      </c>
      <c r="L460" s="114" t="s">
        <v>604</v>
      </c>
      <c r="Y460"/>
    </row>
    <row r="461" spans="1:25" s="11" customFormat="1" ht="13.5">
      <c r="A461" s="76" t="s">
        <v>493</v>
      </c>
      <c r="B461" s="66" t="s">
        <v>477</v>
      </c>
      <c r="C461" s="66" t="s">
        <v>491</v>
      </c>
      <c r="D461" s="66" t="s">
        <v>492</v>
      </c>
      <c r="E461" s="62">
        <v>3.9</v>
      </c>
      <c r="F461" s="61">
        <f>45</f>
        <v>45</v>
      </c>
      <c r="G461" s="121">
        <f t="shared" si="42"/>
        <v>175.5</v>
      </c>
      <c r="H461" s="113">
        <f t="shared" si="43"/>
        <v>1.95</v>
      </c>
      <c r="I461" s="113"/>
      <c r="J461" s="113"/>
      <c r="K461" s="113">
        <f t="shared" si="44"/>
        <v>87.75</v>
      </c>
      <c r="L461" s="114" t="s">
        <v>604</v>
      </c>
      <c r="Y461"/>
    </row>
    <row r="462" spans="1:25" s="11" customFormat="1" ht="13.5">
      <c r="A462" s="76" t="s">
        <v>494</v>
      </c>
      <c r="B462" s="66" t="s">
        <v>477</v>
      </c>
      <c r="C462" s="66" t="s">
        <v>491</v>
      </c>
      <c r="D462" s="66" t="s">
        <v>492</v>
      </c>
      <c r="E462" s="62">
        <v>8.2</v>
      </c>
      <c r="F462" s="61">
        <f>87</f>
        <v>87</v>
      </c>
      <c r="G462" s="121">
        <f t="shared" si="42"/>
        <v>713.4</v>
      </c>
      <c r="H462" s="113">
        <f t="shared" si="43"/>
        <v>4.1</v>
      </c>
      <c r="I462" s="113"/>
      <c r="J462" s="113"/>
      <c r="K462" s="113">
        <f t="shared" si="44"/>
        <v>356.7</v>
      </c>
      <c r="L462" s="114" t="s">
        <v>604</v>
      </c>
      <c r="Y462"/>
    </row>
    <row r="463" spans="1:25" s="11" customFormat="1" ht="13.5">
      <c r="A463" s="76" t="s">
        <v>498</v>
      </c>
      <c r="B463" s="66" t="s">
        <v>495</v>
      </c>
      <c r="C463" s="66" t="s">
        <v>496</v>
      </c>
      <c r="D463" s="66" t="s">
        <v>497</v>
      </c>
      <c r="E463" s="62">
        <v>18</v>
      </c>
      <c r="F463" s="61">
        <f>24+60</f>
        <v>84</v>
      </c>
      <c r="G463" s="121">
        <f t="shared" si="42"/>
        <v>1512</v>
      </c>
      <c r="H463" s="113">
        <f t="shared" si="43"/>
        <v>9</v>
      </c>
      <c r="I463" s="113"/>
      <c r="J463" s="113"/>
      <c r="K463" s="113">
        <f t="shared" si="44"/>
        <v>756</v>
      </c>
      <c r="L463" s="114" t="s">
        <v>604</v>
      </c>
      <c r="Y463"/>
    </row>
    <row r="464" spans="1:25" s="11" customFormat="1" ht="13.5">
      <c r="A464" s="76" t="s">
        <v>499</v>
      </c>
      <c r="B464" s="66" t="s">
        <v>495</v>
      </c>
      <c r="C464" s="66" t="s">
        <v>496</v>
      </c>
      <c r="D464" s="66" t="s">
        <v>497</v>
      </c>
      <c r="E464" s="62">
        <v>35</v>
      </c>
      <c r="F464" s="61">
        <f>56</f>
        <v>56</v>
      </c>
      <c r="G464" s="121">
        <f t="shared" si="42"/>
        <v>1960</v>
      </c>
      <c r="H464" s="113">
        <f t="shared" si="43"/>
        <v>17.5</v>
      </c>
      <c r="I464" s="113"/>
      <c r="J464" s="113"/>
      <c r="K464" s="113">
        <f t="shared" si="44"/>
        <v>980</v>
      </c>
      <c r="L464" s="114" t="s">
        <v>604</v>
      </c>
      <c r="Y464"/>
    </row>
    <row r="465" spans="1:25" s="11" customFormat="1" ht="13.5">
      <c r="A465" s="76" t="s">
        <v>500</v>
      </c>
      <c r="B465" s="66" t="s">
        <v>477</v>
      </c>
      <c r="C465" s="66" t="s">
        <v>478</v>
      </c>
      <c r="D465" s="66" t="s">
        <v>479</v>
      </c>
      <c r="E465" s="62">
        <v>17</v>
      </c>
      <c r="F465" s="61">
        <f>106+8</f>
        <v>114</v>
      </c>
      <c r="G465" s="121">
        <f t="shared" si="42"/>
        <v>1938</v>
      </c>
      <c r="H465" s="113">
        <f t="shared" si="43"/>
        <v>8.5</v>
      </c>
      <c r="I465" s="113"/>
      <c r="J465" s="113"/>
      <c r="K465" s="113">
        <f t="shared" si="44"/>
        <v>969</v>
      </c>
      <c r="L465" s="114" t="s">
        <v>604</v>
      </c>
      <c r="Y465"/>
    </row>
    <row r="466" spans="1:25" s="11" customFormat="1" ht="13.5">
      <c r="A466" s="76" t="s">
        <v>501</v>
      </c>
      <c r="B466" s="66" t="s">
        <v>436</v>
      </c>
      <c r="C466" s="66" t="s">
        <v>437</v>
      </c>
      <c r="D466" s="66" t="s">
        <v>472</v>
      </c>
      <c r="E466" s="62">
        <v>7.75</v>
      </c>
      <c r="F466" s="61">
        <f>21</f>
        <v>21</v>
      </c>
      <c r="G466" s="121">
        <f t="shared" si="42"/>
        <v>162.75</v>
      </c>
      <c r="H466" s="113">
        <f t="shared" si="43"/>
        <v>3.875</v>
      </c>
      <c r="I466" s="113"/>
      <c r="J466" s="113"/>
      <c r="K466" s="113">
        <f t="shared" si="44"/>
        <v>81.375</v>
      </c>
      <c r="L466" s="114" t="s">
        <v>604</v>
      </c>
      <c r="Y466"/>
    </row>
    <row r="467" spans="1:25" s="11" customFormat="1" ht="13.5">
      <c r="A467" s="76" t="s">
        <v>502</v>
      </c>
      <c r="B467" s="66" t="s">
        <v>436</v>
      </c>
      <c r="C467" s="66" t="s">
        <v>437</v>
      </c>
      <c r="D467" s="66" t="s">
        <v>472</v>
      </c>
      <c r="E467" s="62">
        <v>6.4</v>
      </c>
      <c r="F467" s="61">
        <f>58</f>
        <v>58</v>
      </c>
      <c r="G467" s="121">
        <f t="shared" si="42"/>
        <v>371.20000000000005</v>
      </c>
      <c r="H467" s="113">
        <f t="shared" si="43"/>
        <v>3.2</v>
      </c>
      <c r="I467" s="113"/>
      <c r="J467" s="113"/>
      <c r="K467" s="113">
        <f t="shared" si="44"/>
        <v>185.60000000000002</v>
      </c>
      <c r="L467" s="114" t="s">
        <v>604</v>
      </c>
      <c r="Y467"/>
    </row>
    <row r="468" spans="1:25" s="11" customFormat="1" ht="13.5">
      <c r="A468" s="76" t="s">
        <v>503</v>
      </c>
      <c r="B468" s="66" t="s">
        <v>477</v>
      </c>
      <c r="C468" s="66" t="s">
        <v>478</v>
      </c>
      <c r="D468" s="66" t="s">
        <v>479</v>
      </c>
      <c r="E468" s="62">
        <v>16.9</v>
      </c>
      <c r="F468" s="61">
        <f>32</f>
        <v>32</v>
      </c>
      <c r="G468" s="121">
        <f t="shared" si="42"/>
        <v>540.8</v>
      </c>
      <c r="H468" s="113">
        <f t="shared" si="43"/>
        <v>8.45</v>
      </c>
      <c r="I468" s="113"/>
      <c r="J468" s="113"/>
      <c r="K468" s="113">
        <f t="shared" si="44"/>
        <v>270.4</v>
      </c>
      <c r="L468" s="114" t="s">
        <v>604</v>
      </c>
      <c r="Y468"/>
    </row>
    <row r="469" spans="1:25" s="11" customFormat="1" ht="13.5">
      <c r="A469" s="76" t="s">
        <v>504</v>
      </c>
      <c r="B469" s="66" t="s">
        <v>477</v>
      </c>
      <c r="C469" s="66" t="s">
        <v>478</v>
      </c>
      <c r="D469" s="66" t="s">
        <v>479</v>
      </c>
      <c r="E469" s="62">
        <v>16.9</v>
      </c>
      <c r="F469" s="61">
        <f>50</f>
        <v>50</v>
      </c>
      <c r="G469" s="121">
        <f t="shared" si="42"/>
        <v>844.9999999999999</v>
      </c>
      <c r="H469" s="113">
        <f t="shared" si="43"/>
        <v>8.45</v>
      </c>
      <c r="I469" s="113"/>
      <c r="J469" s="113"/>
      <c r="K469" s="113">
        <f t="shared" si="44"/>
        <v>422.49999999999994</v>
      </c>
      <c r="L469" s="114" t="s">
        <v>604</v>
      </c>
      <c r="Y469"/>
    </row>
    <row r="470" spans="1:25" s="11" customFormat="1" ht="13.5">
      <c r="A470" s="76" t="s">
        <v>508</v>
      </c>
      <c r="B470" s="66" t="s">
        <v>505</v>
      </c>
      <c r="C470" s="66" t="s">
        <v>506</v>
      </c>
      <c r="D470" s="66" t="s">
        <v>507</v>
      </c>
      <c r="E470" s="62">
        <v>52.25</v>
      </c>
      <c r="F470" s="61">
        <f>2</f>
        <v>2</v>
      </c>
      <c r="G470" s="121">
        <f t="shared" si="42"/>
        <v>104.5</v>
      </c>
      <c r="H470" s="113">
        <f t="shared" si="43"/>
        <v>26.125</v>
      </c>
      <c r="I470" s="113"/>
      <c r="J470" s="113"/>
      <c r="K470" s="113">
        <f t="shared" si="44"/>
        <v>52.25</v>
      </c>
      <c r="L470" s="114" t="s">
        <v>604</v>
      </c>
      <c r="Y470"/>
    </row>
    <row r="471" spans="1:25" s="11" customFormat="1" ht="13.5">
      <c r="A471" s="76" t="s">
        <v>508</v>
      </c>
      <c r="B471" s="66" t="s">
        <v>505</v>
      </c>
      <c r="C471" s="66" t="s">
        <v>506</v>
      </c>
      <c r="D471" s="66" t="s">
        <v>509</v>
      </c>
      <c r="E471" s="62">
        <v>52.25</v>
      </c>
      <c r="F471" s="61">
        <f>4</f>
        <v>4</v>
      </c>
      <c r="G471" s="121">
        <f t="shared" si="42"/>
        <v>209</v>
      </c>
      <c r="H471" s="113">
        <f t="shared" si="43"/>
        <v>26.125</v>
      </c>
      <c r="I471" s="113"/>
      <c r="J471" s="113"/>
      <c r="K471" s="113">
        <f t="shared" si="44"/>
        <v>104.5</v>
      </c>
      <c r="L471" s="114" t="s">
        <v>604</v>
      </c>
      <c r="Y471"/>
    </row>
    <row r="472" spans="1:25" s="11" customFormat="1" ht="13.5">
      <c r="A472" s="76" t="s">
        <v>510</v>
      </c>
      <c r="B472" s="66" t="s">
        <v>505</v>
      </c>
      <c r="C472" s="66" t="s">
        <v>506</v>
      </c>
      <c r="D472" s="66" t="s">
        <v>509</v>
      </c>
      <c r="E472" s="62">
        <v>38.5</v>
      </c>
      <c r="F472" s="61">
        <f>1</f>
        <v>1</v>
      </c>
      <c r="G472" s="121">
        <f t="shared" si="42"/>
        <v>38.5</v>
      </c>
      <c r="H472" s="113">
        <f t="shared" si="43"/>
        <v>19.25</v>
      </c>
      <c r="I472" s="113"/>
      <c r="J472" s="113"/>
      <c r="K472" s="113">
        <f t="shared" si="44"/>
        <v>19.25</v>
      </c>
      <c r="L472" s="114" t="s">
        <v>604</v>
      </c>
      <c r="Y472"/>
    </row>
    <row r="473" spans="1:25" s="11" customFormat="1" ht="25.5">
      <c r="A473" s="76" t="s">
        <v>511</v>
      </c>
      <c r="B473" s="66" t="s">
        <v>505</v>
      </c>
      <c r="C473" s="66" t="s">
        <v>506</v>
      </c>
      <c r="D473" s="66" t="s">
        <v>507</v>
      </c>
      <c r="E473" s="62">
        <v>24.75</v>
      </c>
      <c r="F473" s="61">
        <f>9</f>
        <v>9</v>
      </c>
      <c r="G473" s="121">
        <f t="shared" si="42"/>
        <v>222.75</v>
      </c>
      <c r="H473" s="113">
        <f t="shared" si="43"/>
        <v>12.375</v>
      </c>
      <c r="I473" s="113"/>
      <c r="J473" s="113"/>
      <c r="K473" s="113">
        <f t="shared" si="44"/>
        <v>111.375</v>
      </c>
      <c r="L473" s="114" t="s">
        <v>604</v>
      </c>
      <c r="Y473"/>
    </row>
    <row r="474" spans="1:25" s="11" customFormat="1" ht="13.5">
      <c r="A474" s="76" t="s">
        <v>512</v>
      </c>
      <c r="B474" s="66" t="s">
        <v>505</v>
      </c>
      <c r="C474" s="66" t="s">
        <v>506</v>
      </c>
      <c r="D474" s="66" t="s">
        <v>507</v>
      </c>
      <c r="E474" s="62">
        <v>30.25</v>
      </c>
      <c r="F474" s="61">
        <f>16</f>
        <v>16</v>
      </c>
      <c r="G474" s="121">
        <f t="shared" si="42"/>
        <v>484</v>
      </c>
      <c r="H474" s="113">
        <f t="shared" si="43"/>
        <v>15.125</v>
      </c>
      <c r="I474" s="113"/>
      <c r="J474" s="113"/>
      <c r="K474" s="113">
        <f t="shared" si="44"/>
        <v>242</v>
      </c>
      <c r="L474" s="114" t="s">
        <v>604</v>
      </c>
      <c r="Y474"/>
    </row>
    <row r="475" spans="1:25" s="11" customFormat="1" ht="13.5">
      <c r="A475" s="76" t="s">
        <v>513</v>
      </c>
      <c r="B475" s="66" t="s">
        <v>505</v>
      </c>
      <c r="C475" s="66" t="s">
        <v>506</v>
      </c>
      <c r="D475" s="66" t="s">
        <v>507</v>
      </c>
      <c r="E475" s="62">
        <v>29</v>
      </c>
      <c r="F475" s="61">
        <f>3*13</f>
        <v>39</v>
      </c>
      <c r="G475" s="121">
        <f t="shared" si="42"/>
        <v>1131</v>
      </c>
      <c r="H475" s="113">
        <f t="shared" si="43"/>
        <v>14.5</v>
      </c>
      <c r="I475" s="113"/>
      <c r="J475" s="113"/>
      <c r="K475" s="113">
        <f t="shared" si="44"/>
        <v>565.5</v>
      </c>
      <c r="L475" s="114" t="s">
        <v>604</v>
      </c>
      <c r="Y475"/>
    </row>
    <row r="476" spans="1:25" s="11" customFormat="1" ht="13.5">
      <c r="A476" s="76" t="s">
        <v>514</v>
      </c>
      <c r="B476" s="66" t="s">
        <v>505</v>
      </c>
      <c r="C476" s="66" t="s">
        <v>506</v>
      </c>
      <c r="D476" s="66" t="s">
        <v>507</v>
      </c>
      <c r="E476" s="62">
        <v>52.63</v>
      </c>
      <c r="F476" s="61">
        <f>3*7+10+10+10</f>
        <v>51</v>
      </c>
      <c r="G476" s="121">
        <f t="shared" si="42"/>
        <v>2684.13</v>
      </c>
      <c r="H476" s="113">
        <f t="shared" si="43"/>
        <v>26.315</v>
      </c>
      <c r="I476" s="113"/>
      <c r="J476" s="113"/>
      <c r="K476" s="113">
        <f t="shared" si="44"/>
        <v>1342.065</v>
      </c>
      <c r="L476" s="114" t="s">
        <v>604</v>
      </c>
      <c r="Y476"/>
    </row>
    <row r="477" spans="1:25" s="11" customFormat="1" ht="13.5">
      <c r="A477" s="76" t="s">
        <v>516</v>
      </c>
      <c r="B477" s="66" t="s">
        <v>505</v>
      </c>
      <c r="C477" s="66" t="s">
        <v>506</v>
      </c>
      <c r="D477" s="66" t="s">
        <v>515</v>
      </c>
      <c r="E477" s="62">
        <v>33.5</v>
      </c>
      <c r="F477" s="61">
        <f>12</f>
        <v>12</v>
      </c>
      <c r="G477" s="121">
        <f t="shared" si="42"/>
        <v>402</v>
      </c>
      <c r="H477" s="113">
        <f t="shared" si="43"/>
        <v>16.75</v>
      </c>
      <c r="I477" s="113"/>
      <c r="J477" s="113"/>
      <c r="K477" s="113">
        <f t="shared" si="44"/>
        <v>201</v>
      </c>
      <c r="L477" s="114" t="s">
        <v>604</v>
      </c>
      <c r="Y477"/>
    </row>
    <row r="478" spans="1:25" s="11" customFormat="1" ht="13.5">
      <c r="A478" s="76" t="s">
        <v>517</v>
      </c>
      <c r="B478" s="66" t="s">
        <v>505</v>
      </c>
      <c r="C478" s="66" t="s">
        <v>506</v>
      </c>
      <c r="D478" s="66" t="s">
        <v>507</v>
      </c>
      <c r="E478" s="62">
        <v>13.15</v>
      </c>
      <c r="F478" s="61">
        <f>10+10+10+6</f>
        <v>36</v>
      </c>
      <c r="G478" s="121">
        <f t="shared" si="42"/>
        <v>473.40000000000003</v>
      </c>
      <c r="H478" s="113">
        <f t="shared" si="43"/>
        <v>6.575</v>
      </c>
      <c r="I478" s="113"/>
      <c r="J478" s="113"/>
      <c r="K478" s="113">
        <f t="shared" si="44"/>
        <v>236.70000000000002</v>
      </c>
      <c r="L478" s="114" t="s">
        <v>604</v>
      </c>
      <c r="Y478"/>
    </row>
    <row r="479" spans="1:25" s="11" customFormat="1" ht="13.5">
      <c r="A479" s="76" t="s">
        <v>518</v>
      </c>
      <c r="B479" s="66" t="s">
        <v>505</v>
      </c>
      <c r="C479" s="66" t="s">
        <v>506</v>
      </c>
      <c r="D479" s="66" t="s">
        <v>507</v>
      </c>
      <c r="E479" s="62">
        <v>26.3</v>
      </c>
      <c r="F479" s="61">
        <f>18+18+18+8</f>
        <v>62</v>
      </c>
      <c r="G479" s="121">
        <f t="shared" si="42"/>
        <v>1630.6000000000001</v>
      </c>
      <c r="H479" s="113">
        <f t="shared" si="43"/>
        <v>13.15</v>
      </c>
      <c r="I479" s="113"/>
      <c r="J479" s="113"/>
      <c r="K479" s="113">
        <f t="shared" si="44"/>
        <v>815.3000000000001</v>
      </c>
      <c r="L479" s="114" t="s">
        <v>604</v>
      </c>
      <c r="Y479"/>
    </row>
    <row r="480" spans="1:25" s="11" customFormat="1" ht="13.5">
      <c r="A480" s="76" t="s">
        <v>519</v>
      </c>
      <c r="B480" s="66" t="s">
        <v>505</v>
      </c>
      <c r="C480" s="66" t="s">
        <v>506</v>
      </c>
      <c r="D480" s="66" t="s">
        <v>515</v>
      </c>
      <c r="E480" s="62">
        <v>45.55</v>
      </c>
      <c r="F480" s="61">
        <f>5*13</f>
        <v>65</v>
      </c>
      <c r="G480" s="121">
        <f t="shared" si="42"/>
        <v>2960.75</v>
      </c>
      <c r="H480" s="113">
        <f t="shared" si="43"/>
        <v>22.775</v>
      </c>
      <c r="I480" s="113"/>
      <c r="J480" s="113"/>
      <c r="K480" s="113">
        <f t="shared" si="44"/>
        <v>1480.375</v>
      </c>
      <c r="L480" s="114" t="s">
        <v>604</v>
      </c>
      <c r="Y480"/>
    </row>
    <row r="481" spans="1:25" s="11" customFormat="1" ht="13.5">
      <c r="A481" s="76" t="s">
        <v>520</v>
      </c>
      <c r="B481" s="66" t="s">
        <v>505</v>
      </c>
      <c r="C481" s="66" t="s">
        <v>506</v>
      </c>
      <c r="D481" s="66" t="s">
        <v>507</v>
      </c>
      <c r="E481" s="62">
        <v>40.19</v>
      </c>
      <c r="F481" s="61">
        <f>5*30+12+9+9+4</f>
        <v>184</v>
      </c>
      <c r="G481" s="121">
        <f t="shared" si="42"/>
        <v>7394.959999999999</v>
      </c>
      <c r="H481" s="113">
        <f t="shared" si="43"/>
        <v>20.095</v>
      </c>
      <c r="I481" s="113"/>
      <c r="J481" s="113"/>
      <c r="K481" s="113">
        <f t="shared" si="44"/>
        <v>3697.4799999999996</v>
      </c>
      <c r="L481" s="114" t="s">
        <v>604</v>
      </c>
      <c r="Y481"/>
    </row>
    <row r="482" spans="1:25" s="11" customFormat="1" ht="13.5">
      <c r="A482" s="76" t="s">
        <v>520</v>
      </c>
      <c r="B482" s="66" t="s">
        <v>505</v>
      </c>
      <c r="C482" s="66" t="s">
        <v>506</v>
      </c>
      <c r="D482" s="66" t="s">
        <v>509</v>
      </c>
      <c r="E482" s="62">
        <v>40.19</v>
      </c>
      <c r="F482" s="61">
        <f>4*34</f>
        <v>136</v>
      </c>
      <c r="G482" s="121">
        <f t="shared" si="42"/>
        <v>5465.84</v>
      </c>
      <c r="H482" s="113">
        <f t="shared" si="43"/>
        <v>20.095</v>
      </c>
      <c r="I482" s="113"/>
      <c r="J482" s="113"/>
      <c r="K482" s="113">
        <f t="shared" si="44"/>
        <v>2732.92</v>
      </c>
      <c r="L482" s="114" t="s">
        <v>604</v>
      </c>
      <c r="Y482"/>
    </row>
    <row r="483" spans="1:25" s="11" customFormat="1" ht="13.5">
      <c r="A483" s="76" t="s">
        <v>522</v>
      </c>
      <c r="B483" s="66" t="s">
        <v>505</v>
      </c>
      <c r="C483" s="66" t="s">
        <v>506</v>
      </c>
      <c r="D483" s="66" t="s">
        <v>521</v>
      </c>
      <c r="E483" s="62">
        <v>17.23</v>
      </c>
      <c r="F483" s="61">
        <f>5*6</f>
        <v>30</v>
      </c>
      <c r="G483" s="121">
        <f t="shared" si="42"/>
        <v>516.9</v>
      </c>
      <c r="H483" s="113">
        <f t="shared" si="43"/>
        <v>8.615</v>
      </c>
      <c r="I483" s="113"/>
      <c r="J483" s="113"/>
      <c r="K483" s="113">
        <f t="shared" si="44"/>
        <v>258.45</v>
      </c>
      <c r="L483" s="114" t="s">
        <v>604</v>
      </c>
      <c r="Y483"/>
    </row>
    <row r="484" spans="1:25" s="11" customFormat="1" ht="13.5">
      <c r="A484" s="76" t="s">
        <v>523</v>
      </c>
      <c r="B484" s="66" t="s">
        <v>505</v>
      </c>
      <c r="C484" s="66" t="s">
        <v>506</v>
      </c>
      <c r="D484" s="66" t="s">
        <v>507</v>
      </c>
      <c r="E484" s="62">
        <v>28.71</v>
      </c>
      <c r="F484" s="61">
        <f>5*15+3</f>
        <v>78</v>
      </c>
      <c r="G484" s="121">
        <f t="shared" si="42"/>
        <v>2239.38</v>
      </c>
      <c r="H484" s="113">
        <f t="shared" si="43"/>
        <v>14.355</v>
      </c>
      <c r="I484" s="113"/>
      <c r="J484" s="113"/>
      <c r="K484" s="113">
        <f t="shared" si="44"/>
        <v>1119.69</v>
      </c>
      <c r="L484" s="114" t="s">
        <v>604</v>
      </c>
      <c r="Y484"/>
    </row>
    <row r="485" spans="1:25" s="11" customFormat="1" ht="13.5">
      <c r="A485" s="76" t="s">
        <v>524</v>
      </c>
      <c r="B485" s="66" t="s">
        <v>505</v>
      </c>
      <c r="C485" s="66" t="s">
        <v>506</v>
      </c>
      <c r="D485" s="66" t="s">
        <v>507</v>
      </c>
      <c r="E485" s="62">
        <v>45.94</v>
      </c>
      <c r="F485" s="61">
        <f>4*7</f>
        <v>28</v>
      </c>
      <c r="G485" s="121">
        <f t="shared" si="42"/>
        <v>1286.32</v>
      </c>
      <c r="H485" s="113">
        <f t="shared" si="43"/>
        <v>22.97</v>
      </c>
      <c r="I485" s="113"/>
      <c r="J485" s="113"/>
      <c r="K485" s="113">
        <f t="shared" si="44"/>
        <v>643.16</v>
      </c>
      <c r="L485" s="114" t="s">
        <v>604</v>
      </c>
      <c r="Y485"/>
    </row>
    <row r="486" spans="1:25" s="11" customFormat="1" ht="25.5">
      <c r="A486" s="76" t="s">
        <v>526</v>
      </c>
      <c r="B486" s="66" t="s">
        <v>505</v>
      </c>
      <c r="C486" s="66" t="s">
        <v>506</v>
      </c>
      <c r="D486" s="66" t="s">
        <v>525</v>
      </c>
      <c r="E486" s="62">
        <v>34.45</v>
      </c>
      <c r="F486" s="61">
        <f>13</f>
        <v>13</v>
      </c>
      <c r="G486" s="121">
        <f t="shared" si="42"/>
        <v>447.85</v>
      </c>
      <c r="H486" s="113">
        <f t="shared" si="43"/>
        <v>17.225</v>
      </c>
      <c r="I486" s="113"/>
      <c r="J486" s="113"/>
      <c r="K486" s="113">
        <f t="shared" si="44"/>
        <v>223.925</v>
      </c>
      <c r="L486" s="114" t="s">
        <v>604</v>
      </c>
      <c r="Y486"/>
    </row>
    <row r="487" spans="1:25" s="11" customFormat="1" ht="13.5">
      <c r="A487" s="76" t="s">
        <v>527</v>
      </c>
      <c r="B487" s="66" t="s">
        <v>477</v>
      </c>
      <c r="C487" s="68" t="s">
        <v>478</v>
      </c>
      <c r="D487" s="66" t="s">
        <v>483</v>
      </c>
      <c r="E487" s="62">
        <v>49</v>
      </c>
      <c r="F487" s="61">
        <f>4</f>
        <v>4</v>
      </c>
      <c r="G487" s="121">
        <f t="shared" si="42"/>
        <v>196</v>
      </c>
      <c r="H487" s="113">
        <f t="shared" si="43"/>
        <v>24.5</v>
      </c>
      <c r="I487" s="113"/>
      <c r="J487" s="113"/>
      <c r="K487" s="113">
        <f t="shared" si="44"/>
        <v>98</v>
      </c>
      <c r="L487" s="114" t="s">
        <v>604</v>
      </c>
      <c r="Y487"/>
    </row>
    <row r="488" spans="1:25" s="11" customFormat="1" ht="13.5">
      <c r="A488" s="76" t="s">
        <v>529</v>
      </c>
      <c r="B488" s="66" t="s">
        <v>505</v>
      </c>
      <c r="C488" s="66" t="s">
        <v>528</v>
      </c>
      <c r="D488" s="66" t="s">
        <v>507</v>
      </c>
      <c r="E488" s="62">
        <v>14.4</v>
      </c>
      <c r="F488" s="61">
        <f>6</f>
        <v>6</v>
      </c>
      <c r="G488" s="121">
        <f aca="true" t="shared" si="45" ref="G488:G514">F488*E488</f>
        <v>86.4</v>
      </c>
      <c r="H488" s="113">
        <f aca="true" t="shared" si="46" ref="H488:H514">E488*0.5</f>
        <v>7.2</v>
      </c>
      <c r="I488" s="113"/>
      <c r="J488" s="113"/>
      <c r="K488" s="113">
        <f aca="true" t="shared" si="47" ref="K488:K514">H488*F488</f>
        <v>43.2</v>
      </c>
      <c r="L488" s="114" t="s">
        <v>604</v>
      </c>
      <c r="Y488"/>
    </row>
    <row r="489" spans="1:25" s="11" customFormat="1" ht="13.5">
      <c r="A489" s="76" t="s">
        <v>530</v>
      </c>
      <c r="B489" s="66" t="s">
        <v>505</v>
      </c>
      <c r="C489" s="69" t="s">
        <v>341</v>
      </c>
      <c r="D489" s="69" t="s">
        <v>507</v>
      </c>
      <c r="E489" s="62">
        <v>6.88</v>
      </c>
      <c r="F489" s="61">
        <f>60+60+50</f>
        <v>170</v>
      </c>
      <c r="G489" s="121">
        <f t="shared" si="45"/>
        <v>1169.6</v>
      </c>
      <c r="H489" s="113">
        <f t="shared" si="46"/>
        <v>3.44</v>
      </c>
      <c r="I489" s="113"/>
      <c r="J489" s="113"/>
      <c r="K489" s="113">
        <f t="shared" si="47"/>
        <v>584.8</v>
      </c>
      <c r="L489" s="114" t="s">
        <v>604</v>
      </c>
      <c r="Y489"/>
    </row>
    <row r="490" spans="1:25" s="11" customFormat="1" ht="13.5">
      <c r="A490" s="76" t="s">
        <v>532</v>
      </c>
      <c r="B490" s="68" t="s">
        <v>436</v>
      </c>
      <c r="C490" s="68" t="s">
        <v>442</v>
      </c>
      <c r="D490" s="68" t="s">
        <v>531</v>
      </c>
      <c r="E490" s="62">
        <v>12.04</v>
      </c>
      <c r="F490" s="61">
        <f>14+14+16+11+25+25+10+16+9</f>
        <v>140</v>
      </c>
      <c r="G490" s="121">
        <f t="shared" si="45"/>
        <v>1685.6</v>
      </c>
      <c r="H490" s="113">
        <f t="shared" si="46"/>
        <v>6.02</v>
      </c>
      <c r="I490" s="113"/>
      <c r="J490" s="113"/>
      <c r="K490" s="113">
        <f t="shared" si="47"/>
        <v>842.8</v>
      </c>
      <c r="L490" s="114" t="s">
        <v>604</v>
      </c>
      <c r="Y490"/>
    </row>
    <row r="491" spans="1:25" s="11" customFormat="1" ht="13.5">
      <c r="A491" s="76" t="s">
        <v>534</v>
      </c>
      <c r="B491" s="68" t="s">
        <v>436</v>
      </c>
      <c r="C491" s="68" t="s">
        <v>449</v>
      </c>
      <c r="D491" s="69" t="s">
        <v>533</v>
      </c>
      <c r="E491" s="62">
        <v>27.5</v>
      </c>
      <c r="F491" s="61">
        <f>2</f>
        <v>2</v>
      </c>
      <c r="G491" s="121">
        <f t="shared" si="45"/>
        <v>55</v>
      </c>
      <c r="H491" s="113">
        <f t="shared" si="46"/>
        <v>13.75</v>
      </c>
      <c r="I491" s="113"/>
      <c r="J491" s="113"/>
      <c r="K491" s="113">
        <f t="shared" si="47"/>
        <v>27.5</v>
      </c>
      <c r="L491" s="114" t="s">
        <v>604</v>
      </c>
      <c r="Y491"/>
    </row>
    <row r="492" spans="1:25" s="11" customFormat="1" ht="13.5">
      <c r="A492" s="76" t="s">
        <v>536</v>
      </c>
      <c r="B492" s="68" t="s">
        <v>436</v>
      </c>
      <c r="C492" s="68" t="s">
        <v>437</v>
      </c>
      <c r="D492" s="68" t="s">
        <v>535</v>
      </c>
      <c r="E492" s="62">
        <v>32.5</v>
      </c>
      <c r="F492" s="61">
        <f>9</f>
        <v>9</v>
      </c>
      <c r="G492" s="121">
        <f t="shared" si="45"/>
        <v>292.5</v>
      </c>
      <c r="H492" s="113">
        <f t="shared" si="46"/>
        <v>16.25</v>
      </c>
      <c r="I492" s="113"/>
      <c r="J492" s="113"/>
      <c r="K492" s="113">
        <f t="shared" si="47"/>
        <v>146.25</v>
      </c>
      <c r="L492" s="114" t="s">
        <v>604</v>
      </c>
      <c r="Y492"/>
    </row>
    <row r="493" spans="1:25" s="11" customFormat="1" ht="13.5">
      <c r="A493" s="76" t="s">
        <v>537</v>
      </c>
      <c r="B493" s="68" t="s">
        <v>436</v>
      </c>
      <c r="C493" s="68" t="s">
        <v>437</v>
      </c>
      <c r="D493" s="68" t="s">
        <v>535</v>
      </c>
      <c r="E493" s="62">
        <v>32.5</v>
      </c>
      <c r="F493" s="61">
        <f>9</f>
        <v>9</v>
      </c>
      <c r="G493" s="121">
        <f t="shared" si="45"/>
        <v>292.5</v>
      </c>
      <c r="H493" s="113">
        <f t="shared" si="46"/>
        <v>16.25</v>
      </c>
      <c r="I493" s="113"/>
      <c r="J493" s="113"/>
      <c r="K493" s="113">
        <f t="shared" si="47"/>
        <v>146.25</v>
      </c>
      <c r="L493" s="114" t="s">
        <v>604</v>
      </c>
      <c r="Y493"/>
    </row>
    <row r="494" spans="1:25" s="11" customFormat="1" ht="13.5">
      <c r="A494" s="76" t="s">
        <v>540</v>
      </c>
      <c r="B494" s="66" t="s">
        <v>538</v>
      </c>
      <c r="C494" s="69" t="s">
        <v>539</v>
      </c>
      <c r="D494" s="69" t="s">
        <v>507</v>
      </c>
      <c r="E494" s="62">
        <v>3.14</v>
      </c>
      <c r="F494" s="61">
        <f>640+340+33</f>
        <v>1013</v>
      </c>
      <c r="G494" s="121">
        <f t="shared" si="45"/>
        <v>3180.82</v>
      </c>
      <c r="H494" s="113">
        <f t="shared" si="46"/>
        <v>1.57</v>
      </c>
      <c r="I494" s="113"/>
      <c r="J494" s="113"/>
      <c r="K494" s="113">
        <f t="shared" si="47"/>
        <v>1590.41</v>
      </c>
      <c r="L494" s="114" t="s">
        <v>604</v>
      </c>
      <c r="Y494"/>
    </row>
    <row r="495" spans="1:25" s="11" customFormat="1" ht="13.5">
      <c r="A495" s="76" t="s">
        <v>542</v>
      </c>
      <c r="B495" s="66" t="s">
        <v>436</v>
      </c>
      <c r="C495" s="69" t="s">
        <v>437</v>
      </c>
      <c r="D495" s="69" t="s">
        <v>541</v>
      </c>
      <c r="E495" s="62">
        <v>3.14</v>
      </c>
      <c r="F495" s="61">
        <f>51+39</f>
        <v>90</v>
      </c>
      <c r="G495" s="121">
        <f t="shared" si="45"/>
        <v>282.6</v>
      </c>
      <c r="H495" s="113">
        <f t="shared" si="46"/>
        <v>1.57</v>
      </c>
      <c r="I495" s="113"/>
      <c r="J495" s="113"/>
      <c r="K495" s="113">
        <f t="shared" si="47"/>
        <v>141.3</v>
      </c>
      <c r="L495" s="114" t="s">
        <v>604</v>
      </c>
      <c r="Y495"/>
    </row>
    <row r="496" spans="1:25" s="11" customFormat="1" ht="13.5">
      <c r="A496" s="76" t="s">
        <v>544</v>
      </c>
      <c r="B496" s="66" t="s">
        <v>436</v>
      </c>
      <c r="C496" s="69" t="s">
        <v>437</v>
      </c>
      <c r="D496" s="69" t="s">
        <v>543</v>
      </c>
      <c r="E496" s="62">
        <v>11.29</v>
      </c>
      <c r="F496" s="61">
        <f>21+22+22+22+22+20+16+20+39+22+21+8</f>
        <v>255</v>
      </c>
      <c r="G496" s="121">
        <f t="shared" si="45"/>
        <v>2878.95</v>
      </c>
      <c r="H496" s="113">
        <f t="shared" si="46"/>
        <v>5.645</v>
      </c>
      <c r="I496" s="113"/>
      <c r="J496" s="113"/>
      <c r="K496" s="113">
        <f t="shared" si="47"/>
        <v>1439.475</v>
      </c>
      <c r="L496" s="114" t="s">
        <v>604</v>
      </c>
      <c r="Y496"/>
    </row>
    <row r="497" spans="1:25" s="11" customFormat="1" ht="13.5">
      <c r="A497" s="76" t="s">
        <v>545</v>
      </c>
      <c r="B497" s="66" t="s">
        <v>436</v>
      </c>
      <c r="C497" s="69" t="s">
        <v>437</v>
      </c>
      <c r="D497" s="69"/>
      <c r="E497" s="62">
        <v>11.83</v>
      </c>
      <c r="F497" s="61">
        <f>90+80+57+113</f>
        <v>340</v>
      </c>
      <c r="G497" s="121">
        <f t="shared" si="45"/>
        <v>4022.2</v>
      </c>
      <c r="H497" s="113">
        <f t="shared" si="46"/>
        <v>5.915</v>
      </c>
      <c r="I497" s="113"/>
      <c r="J497" s="113"/>
      <c r="K497" s="113">
        <f t="shared" si="47"/>
        <v>2011.1</v>
      </c>
      <c r="L497" s="114" t="s">
        <v>604</v>
      </c>
      <c r="Y497"/>
    </row>
    <row r="498" spans="1:25" s="11" customFormat="1" ht="13.5">
      <c r="A498" s="76" t="s">
        <v>546</v>
      </c>
      <c r="B498" s="66" t="s">
        <v>477</v>
      </c>
      <c r="C498" s="69" t="s">
        <v>437</v>
      </c>
      <c r="D498" s="69" t="s">
        <v>487</v>
      </c>
      <c r="E498" s="62">
        <v>39</v>
      </c>
      <c r="F498" s="61">
        <f>15</f>
        <v>15</v>
      </c>
      <c r="G498" s="121">
        <f t="shared" si="45"/>
        <v>585</v>
      </c>
      <c r="H498" s="113">
        <f t="shared" si="46"/>
        <v>19.5</v>
      </c>
      <c r="I498" s="113"/>
      <c r="J498" s="113"/>
      <c r="K498" s="113">
        <f t="shared" si="47"/>
        <v>292.5</v>
      </c>
      <c r="L498" s="114" t="s">
        <v>604</v>
      </c>
      <c r="Y498"/>
    </row>
    <row r="499" spans="1:25" s="11" customFormat="1" ht="13.5">
      <c r="A499" s="76" t="s">
        <v>547</v>
      </c>
      <c r="B499" s="66" t="s">
        <v>477</v>
      </c>
      <c r="C499" s="69" t="s">
        <v>437</v>
      </c>
      <c r="D499" s="69" t="s">
        <v>487</v>
      </c>
      <c r="E499" s="62">
        <v>45</v>
      </c>
      <c r="F499" s="61">
        <f>33</f>
        <v>33</v>
      </c>
      <c r="G499" s="121">
        <f t="shared" si="45"/>
        <v>1485</v>
      </c>
      <c r="H499" s="113">
        <f t="shared" si="46"/>
        <v>22.5</v>
      </c>
      <c r="I499" s="113"/>
      <c r="J499" s="113"/>
      <c r="K499" s="113">
        <f t="shared" si="47"/>
        <v>742.5</v>
      </c>
      <c r="L499" s="114" t="s">
        <v>604</v>
      </c>
      <c r="Y499"/>
    </row>
    <row r="500" spans="1:25" s="11" customFormat="1" ht="13.5">
      <c r="A500" s="76" t="s">
        <v>548</v>
      </c>
      <c r="B500" s="66" t="s">
        <v>538</v>
      </c>
      <c r="C500" s="69" t="s">
        <v>539</v>
      </c>
      <c r="D500" s="69" t="s">
        <v>507</v>
      </c>
      <c r="E500" s="62">
        <v>3.14</v>
      </c>
      <c r="F500" s="61">
        <f>640+627+114</f>
        <v>1381</v>
      </c>
      <c r="G500" s="121">
        <f t="shared" si="45"/>
        <v>4336.34</v>
      </c>
      <c r="H500" s="113">
        <f t="shared" si="46"/>
        <v>1.57</v>
      </c>
      <c r="I500" s="113"/>
      <c r="J500" s="113"/>
      <c r="K500" s="113">
        <f t="shared" si="47"/>
        <v>2168.17</v>
      </c>
      <c r="L500" s="114" t="s">
        <v>604</v>
      </c>
      <c r="Y500"/>
    </row>
    <row r="501" spans="1:25" s="11" customFormat="1" ht="13.5">
      <c r="A501" s="76" t="s">
        <v>550</v>
      </c>
      <c r="B501" s="66" t="s">
        <v>477</v>
      </c>
      <c r="C501" s="69" t="s">
        <v>437</v>
      </c>
      <c r="D501" s="69" t="s">
        <v>549</v>
      </c>
      <c r="E501" s="62">
        <v>12</v>
      </c>
      <c r="F501" s="61">
        <f>9</f>
        <v>9</v>
      </c>
      <c r="G501" s="121">
        <f t="shared" si="45"/>
        <v>108</v>
      </c>
      <c r="H501" s="113">
        <f t="shared" si="46"/>
        <v>6</v>
      </c>
      <c r="I501" s="113"/>
      <c r="J501" s="113"/>
      <c r="K501" s="113">
        <f t="shared" si="47"/>
        <v>54</v>
      </c>
      <c r="L501" s="114" t="s">
        <v>604</v>
      </c>
      <c r="Y501"/>
    </row>
    <row r="502" spans="1:25" s="11" customFormat="1" ht="13.5">
      <c r="A502" s="76" t="s">
        <v>551</v>
      </c>
      <c r="B502" s="66" t="s">
        <v>477</v>
      </c>
      <c r="C502" s="69" t="s">
        <v>437</v>
      </c>
      <c r="D502" s="69" t="s">
        <v>549</v>
      </c>
      <c r="E502" s="62">
        <v>14</v>
      </c>
      <c r="F502" s="61">
        <v>28</v>
      </c>
      <c r="G502" s="121">
        <f t="shared" si="45"/>
        <v>392</v>
      </c>
      <c r="H502" s="113">
        <f t="shared" si="46"/>
        <v>7</v>
      </c>
      <c r="I502" s="113"/>
      <c r="J502" s="113"/>
      <c r="K502" s="113">
        <f t="shared" si="47"/>
        <v>196</v>
      </c>
      <c r="L502" s="114" t="s">
        <v>604</v>
      </c>
      <c r="Y502"/>
    </row>
    <row r="503" spans="1:25" s="11" customFormat="1" ht="13.5">
      <c r="A503" s="76" t="s">
        <v>552</v>
      </c>
      <c r="B503" s="66" t="s">
        <v>477</v>
      </c>
      <c r="C503" s="69" t="s">
        <v>437</v>
      </c>
      <c r="D503" s="69" t="s">
        <v>549</v>
      </c>
      <c r="E503" s="62">
        <v>12</v>
      </c>
      <c r="F503" s="61">
        <v>35</v>
      </c>
      <c r="G503" s="121">
        <f t="shared" si="45"/>
        <v>420</v>
      </c>
      <c r="H503" s="113">
        <f t="shared" si="46"/>
        <v>6</v>
      </c>
      <c r="I503" s="113"/>
      <c r="J503" s="113"/>
      <c r="K503" s="113">
        <f t="shared" si="47"/>
        <v>210</v>
      </c>
      <c r="L503" s="114" t="s">
        <v>604</v>
      </c>
      <c r="Y503"/>
    </row>
    <row r="504" spans="1:25" s="11" customFormat="1" ht="13.5">
      <c r="A504" s="76" t="s">
        <v>553</v>
      </c>
      <c r="B504" s="66" t="s">
        <v>477</v>
      </c>
      <c r="C504" s="69" t="s">
        <v>437</v>
      </c>
      <c r="D504" s="69" t="s">
        <v>479</v>
      </c>
      <c r="E504" s="62">
        <v>10</v>
      </c>
      <c r="F504" s="61">
        <v>48</v>
      </c>
      <c r="G504" s="121">
        <f t="shared" si="45"/>
        <v>480</v>
      </c>
      <c r="H504" s="113">
        <f t="shared" si="46"/>
        <v>5</v>
      </c>
      <c r="I504" s="113"/>
      <c r="J504" s="113"/>
      <c r="K504" s="113">
        <f t="shared" si="47"/>
        <v>240</v>
      </c>
      <c r="L504" s="114" t="s">
        <v>604</v>
      </c>
      <c r="Y504"/>
    </row>
    <row r="505" spans="1:25" s="11" customFormat="1" ht="13.5">
      <c r="A505" s="76" t="s">
        <v>554</v>
      </c>
      <c r="B505" s="66" t="s">
        <v>477</v>
      </c>
      <c r="C505" s="69" t="s">
        <v>437</v>
      </c>
      <c r="D505" s="69" t="s">
        <v>479</v>
      </c>
      <c r="E505" s="62">
        <v>12</v>
      </c>
      <c r="F505" s="61">
        <v>36</v>
      </c>
      <c r="G505" s="121">
        <f t="shared" si="45"/>
        <v>432</v>
      </c>
      <c r="H505" s="113">
        <f t="shared" si="46"/>
        <v>6</v>
      </c>
      <c r="I505" s="113"/>
      <c r="J505" s="113"/>
      <c r="K505" s="113">
        <f t="shared" si="47"/>
        <v>216</v>
      </c>
      <c r="L505" s="114" t="s">
        <v>604</v>
      </c>
      <c r="Y505"/>
    </row>
    <row r="506" spans="1:25" s="11" customFormat="1" ht="13.5">
      <c r="A506" s="76" t="s">
        <v>555</v>
      </c>
      <c r="B506" s="66" t="s">
        <v>477</v>
      </c>
      <c r="C506" s="69" t="s">
        <v>437</v>
      </c>
      <c r="D506" s="69" t="s">
        <v>487</v>
      </c>
      <c r="E506" s="62">
        <v>15</v>
      </c>
      <c r="F506" s="61">
        <v>46</v>
      </c>
      <c r="G506" s="121">
        <f t="shared" si="45"/>
        <v>690</v>
      </c>
      <c r="H506" s="113">
        <f t="shared" si="46"/>
        <v>7.5</v>
      </c>
      <c r="I506" s="113"/>
      <c r="J506" s="113"/>
      <c r="K506" s="113">
        <f t="shared" si="47"/>
        <v>345</v>
      </c>
      <c r="L506" s="114" t="s">
        <v>604</v>
      </c>
      <c r="Y506"/>
    </row>
    <row r="507" spans="1:25" s="11" customFormat="1" ht="13.5">
      <c r="A507" s="76" t="s">
        <v>556</v>
      </c>
      <c r="B507" s="66" t="s">
        <v>477</v>
      </c>
      <c r="C507" s="69" t="s">
        <v>437</v>
      </c>
      <c r="D507" s="69" t="s">
        <v>487</v>
      </c>
      <c r="E507" s="62">
        <v>14</v>
      </c>
      <c r="F507" s="61">
        <v>43</v>
      </c>
      <c r="G507" s="121">
        <f t="shared" si="45"/>
        <v>602</v>
      </c>
      <c r="H507" s="113">
        <f t="shared" si="46"/>
        <v>7</v>
      </c>
      <c r="I507" s="113"/>
      <c r="J507" s="113"/>
      <c r="K507" s="113">
        <f t="shared" si="47"/>
        <v>301</v>
      </c>
      <c r="L507" s="114" t="s">
        <v>604</v>
      </c>
      <c r="Y507"/>
    </row>
    <row r="508" spans="1:25" s="11" customFormat="1" ht="13.5">
      <c r="A508" s="76" t="s">
        <v>558</v>
      </c>
      <c r="B508" s="66" t="s">
        <v>477</v>
      </c>
      <c r="C508" s="69" t="s">
        <v>437</v>
      </c>
      <c r="D508" s="69" t="s">
        <v>557</v>
      </c>
      <c r="E508" s="62">
        <v>15</v>
      </c>
      <c r="F508" s="61">
        <v>48</v>
      </c>
      <c r="G508" s="121">
        <f t="shared" si="45"/>
        <v>720</v>
      </c>
      <c r="H508" s="113">
        <f t="shared" si="46"/>
        <v>7.5</v>
      </c>
      <c r="I508" s="113"/>
      <c r="J508" s="113"/>
      <c r="K508" s="113">
        <f t="shared" si="47"/>
        <v>360</v>
      </c>
      <c r="L508" s="114" t="s">
        <v>604</v>
      </c>
      <c r="Y508"/>
    </row>
    <row r="509" spans="1:25" s="11" customFormat="1" ht="13.5">
      <c r="A509" s="76" t="s">
        <v>559</v>
      </c>
      <c r="B509" s="66" t="s">
        <v>477</v>
      </c>
      <c r="C509" s="69" t="s">
        <v>437</v>
      </c>
      <c r="D509" s="69" t="s">
        <v>557</v>
      </c>
      <c r="E509" s="62">
        <v>15</v>
      </c>
      <c r="F509" s="61">
        <v>38</v>
      </c>
      <c r="G509" s="121">
        <f t="shared" si="45"/>
        <v>570</v>
      </c>
      <c r="H509" s="113">
        <f t="shared" si="46"/>
        <v>7.5</v>
      </c>
      <c r="I509" s="113"/>
      <c r="J509" s="113"/>
      <c r="K509" s="113">
        <f t="shared" si="47"/>
        <v>285</v>
      </c>
      <c r="L509" s="114" t="s">
        <v>604</v>
      </c>
      <c r="Y509"/>
    </row>
    <row r="510" spans="1:25" s="11" customFormat="1" ht="13.5">
      <c r="A510" s="76" t="s">
        <v>560</v>
      </c>
      <c r="B510" s="66" t="s">
        <v>477</v>
      </c>
      <c r="C510" s="69" t="s">
        <v>437</v>
      </c>
      <c r="D510" s="69" t="s">
        <v>557</v>
      </c>
      <c r="E510" s="62">
        <v>14</v>
      </c>
      <c r="F510" s="61">
        <v>41</v>
      </c>
      <c r="G510" s="121">
        <f t="shared" si="45"/>
        <v>574</v>
      </c>
      <c r="H510" s="113">
        <f t="shared" si="46"/>
        <v>7</v>
      </c>
      <c r="I510" s="113"/>
      <c r="J510" s="113"/>
      <c r="K510" s="113">
        <f t="shared" si="47"/>
        <v>287</v>
      </c>
      <c r="L510" s="114" t="s">
        <v>604</v>
      </c>
      <c r="Y510"/>
    </row>
    <row r="511" spans="1:25" s="11" customFormat="1" ht="13.5">
      <c r="A511" s="76" t="s">
        <v>562</v>
      </c>
      <c r="B511" s="66" t="s">
        <v>477</v>
      </c>
      <c r="C511" s="69" t="s">
        <v>437</v>
      </c>
      <c r="D511" s="69" t="s">
        <v>561</v>
      </c>
      <c r="E511" s="62">
        <v>41</v>
      </c>
      <c r="F511" s="61">
        <f>24</f>
        <v>24</v>
      </c>
      <c r="G511" s="121">
        <f t="shared" si="45"/>
        <v>984</v>
      </c>
      <c r="H511" s="113">
        <f t="shared" si="46"/>
        <v>20.5</v>
      </c>
      <c r="I511" s="113"/>
      <c r="J511" s="113"/>
      <c r="K511" s="113">
        <f t="shared" si="47"/>
        <v>492</v>
      </c>
      <c r="L511" s="114" t="s">
        <v>604</v>
      </c>
      <c r="Y511"/>
    </row>
    <row r="512" spans="1:25" s="11" customFormat="1" ht="13.5">
      <c r="A512" s="76" t="s">
        <v>563</v>
      </c>
      <c r="B512" s="66" t="s">
        <v>477</v>
      </c>
      <c r="C512" s="69" t="s">
        <v>437</v>
      </c>
      <c r="D512" s="69" t="s">
        <v>561</v>
      </c>
      <c r="E512" s="62">
        <v>41</v>
      </c>
      <c r="F512" s="61">
        <f>34</f>
        <v>34</v>
      </c>
      <c r="G512" s="121">
        <f t="shared" si="45"/>
        <v>1394</v>
      </c>
      <c r="H512" s="113">
        <f t="shared" si="46"/>
        <v>20.5</v>
      </c>
      <c r="I512" s="113"/>
      <c r="J512" s="113"/>
      <c r="K512" s="113">
        <f t="shared" si="47"/>
        <v>697</v>
      </c>
      <c r="L512" s="114" t="s">
        <v>604</v>
      </c>
      <c r="Y512"/>
    </row>
    <row r="513" spans="1:25" s="11" customFormat="1" ht="13.5">
      <c r="A513" s="76" t="s">
        <v>564</v>
      </c>
      <c r="B513" s="66" t="s">
        <v>477</v>
      </c>
      <c r="C513" s="69" t="s">
        <v>437</v>
      </c>
      <c r="D513" s="66" t="s">
        <v>561</v>
      </c>
      <c r="E513" s="62">
        <v>41</v>
      </c>
      <c r="F513" s="61">
        <f>27</f>
        <v>27</v>
      </c>
      <c r="G513" s="121">
        <f t="shared" si="45"/>
        <v>1107</v>
      </c>
      <c r="H513" s="113">
        <f t="shared" si="46"/>
        <v>20.5</v>
      </c>
      <c r="I513" s="113"/>
      <c r="J513" s="113"/>
      <c r="K513" s="113">
        <f t="shared" si="47"/>
        <v>553.5</v>
      </c>
      <c r="L513" s="114" t="s">
        <v>604</v>
      </c>
      <c r="Y513"/>
    </row>
    <row r="514" spans="1:25" s="11" customFormat="1" ht="13.5">
      <c r="A514" s="76" t="s">
        <v>566</v>
      </c>
      <c r="B514" s="66" t="s">
        <v>436</v>
      </c>
      <c r="C514" s="66" t="s">
        <v>565</v>
      </c>
      <c r="D514" s="66" t="s">
        <v>543</v>
      </c>
      <c r="E514" s="62">
        <v>19</v>
      </c>
      <c r="F514" s="61">
        <f>19</f>
        <v>19</v>
      </c>
      <c r="G514" s="121">
        <f t="shared" si="45"/>
        <v>361</v>
      </c>
      <c r="H514" s="113">
        <f t="shared" si="46"/>
        <v>9.5</v>
      </c>
      <c r="I514" s="113"/>
      <c r="J514" s="113"/>
      <c r="K514" s="113">
        <f t="shared" si="47"/>
        <v>180.5</v>
      </c>
      <c r="L514" s="114" t="s">
        <v>604</v>
      </c>
      <c r="Y514"/>
    </row>
    <row r="515" spans="1:25" s="11" customFormat="1" ht="13.5">
      <c r="A515" s="76" t="s">
        <v>567</v>
      </c>
      <c r="B515" s="66" t="s">
        <v>436</v>
      </c>
      <c r="C515" s="66" t="s">
        <v>565</v>
      </c>
      <c r="D515" s="66" t="s">
        <v>543</v>
      </c>
      <c r="E515" s="62">
        <v>12.5</v>
      </c>
      <c r="F515" s="61">
        <f>2</f>
        <v>2</v>
      </c>
      <c r="G515" s="121">
        <f>F515*E515</f>
        <v>25</v>
      </c>
      <c r="H515" s="113">
        <f>E515*0.5</f>
        <v>6.25</v>
      </c>
      <c r="I515" s="113"/>
      <c r="J515" s="113"/>
      <c r="K515" s="113">
        <f>H515*F515</f>
        <v>12.5</v>
      </c>
      <c r="L515" s="185"/>
      <c r="Y515"/>
    </row>
    <row r="516" spans="1:25" s="11" customFormat="1" ht="13.5">
      <c r="A516" s="76" t="s">
        <v>568</v>
      </c>
      <c r="B516" s="66" t="s">
        <v>436</v>
      </c>
      <c r="C516" s="66" t="s">
        <v>565</v>
      </c>
      <c r="D516" s="66" t="s">
        <v>543</v>
      </c>
      <c r="E516" s="62">
        <v>21</v>
      </c>
      <c r="F516" s="61">
        <f>4</f>
        <v>4</v>
      </c>
      <c r="G516" s="121">
        <f aca="true" t="shared" si="48" ref="G516:G527">F516*E516</f>
        <v>84</v>
      </c>
      <c r="H516" s="113">
        <f aca="true" t="shared" si="49" ref="H516:H527">E516*0.5</f>
        <v>10.5</v>
      </c>
      <c r="I516" s="113"/>
      <c r="J516" s="113"/>
      <c r="K516" s="113">
        <f aca="true" t="shared" si="50" ref="K516:K527">H516*F516</f>
        <v>42</v>
      </c>
      <c r="L516" s="114"/>
      <c r="Y516"/>
    </row>
    <row r="517" spans="1:12" ht="13.5">
      <c r="A517" s="76" t="s">
        <v>570</v>
      </c>
      <c r="B517" s="66" t="s">
        <v>436</v>
      </c>
      <c r="C517" s="66" t="s">
        <v>565</v>
      </c>
      <c r="D517" s="66" t="s">
        <v>569</v>
      </c>
      <c r="E517" s="62">
        <v>51</v>
      </c>
      <c r="F517" s="61">
        <f>2</f>
        <v>2</v>
      </c>
      <c r="G517" s="121">
        <f t="shared" si="48"/>
        <v>102</v>
      </c>
      <c r="H517" s="113">
        <f t="shared" si="49"/>
        <v>25.5</v>
      </c>
      <c r="I517" s="113"/>
      <c r="J517" s="113"/>
      <c r="K517" s="113">
        <f t="shared" si="50"/>
        <v>51</v>
      </c>
      <c r="L517" s="114" t="s">
        <v>604</v>
      </c>
    </row>
    <row r="518" spans="1:12" ht="13.5">
      <c r="A518" s="76" t="s">
        <v>571</v>
      </c>
      <c r="B518" s="66" t="s">
        <v>477</v>
      </c>
      <c r="C518" s="66" t="s">
        <v>437</v>
      </c>
      <c r="D518" s="66" t="s">
        <v>483</v>
      </c>
      <c r="E518" s="62">
        <v>24.5</v>
      </c>
      <c r="F518" s="61">
        <f>6</f>
        <v>6</v>
      </c>
      <c r="G518" s="121">
        <f t="shared" si="48"/>
        <v>147</v>
      </c>
      <c r="H518" s="113">
        <f t="shared" si="49"/>
        <v>12.25</v>
      </c>
      <c r="I518" s="113"/>
      <c r="J518" s="113"/>
      <c r="K518" s="113">
        <f t="shared" si="50"/>
        <v>73.5</v>
      </c>
      <c r="L518" s="114" t="s">
        <v>604</v>
      </c>
    </row>
    <row r="519" spans="1:12" ht="13.5">
      <c r="A519" s="91" t="s">
        <v>572</v>
      </c>
      <c r="B519" s="66" t="s">
        <v>436</v>
      </c>
      <c r="C519" s="66" t="s">
        <v>449</v>
      </c>
      <c r="D519" s="66" t="s">
        <v>475</v>
      </c>
      <c r="E519" s="62">
        <v>18</v>
      </c>
      <c r="F519" s="61">
        <f>7+10</f>
        <v>17</v>
      </c>
      <c r="G519" s="121">
        <f t="shared" si="48"/>
        <v>306</v>
      </c>
      <c r="H519" s="113">
        <f t="shared" si="49"/>
        <v>9</v>
      </c>
      <c r="I519" s="113"/>
      <c r="J519" s="113"/>
      <c r="K519" s="113">
        <f t="shared" si="50"/>
        <v>153</v>
      </c>
      <c r="L519" s="114" t="s">
        <v>604</v>
      </c>
    </row>
    <row r="520" spans="1:12" ht="13.5">
      <c r="A520" s="91" t="s">
        <v>573</v>
      </c>
      <c r="B520" s="66" t="s">
        <v>436</v>
      </c>
      <c r="C520" s="66" t="s">
        <v>449</v>
      </c>
      <c r="D520" s="66" t="s">
        <v>475</v>
      </c>
      <c r="E520" s="62">
        <v>18</v>
      </c>
      <c r="F520" s="61">
        <f>6+3</f>
        <v>9</v>
      </c>
      <c r="G520" s="121">
        <f t="shared" si="48"/>
        <v>162</v>
      </c>
      <c r="H520" s="113">
        <f t="shared" si="49"/>
        <v>9</v>
      </c>
      <c r="I520" s="113"/>
      <c r="J520" s="113"/>
      <c r="K520" s="113">
        <f t="shared" si="50"/>
        <v>81</v>
      </c>
      <c r="L520" s="114" t="s">
        <v>604</v>
      </c>
    </row>
    <row r="521" spans="1:12" ht="14.25" thickBot="1">
      <c r="A521" s="93" t="s">
        <v>575</v>
      </c>
      <c r="B521" s="81" t="s">
        <v>436</v>
      </c>
      <c r="C521" s="81" t="s">
        <v>449</v>
      </c>
      <c r="D521" s="81" t="s">
        <v>574</v>
      </c>
      <c r="E521" s="80">
        <v>2.25</v>
      </c>
      <c r="F521" s="81">
        <f>200</f>
        <v>200</v>
      </c>
      <c r="G521" s="122">
        <f t="shared" si="48"/>
        <v>450</v>
      </c>
      <c r="H521" s="113">
        <f t="shared" si="49"/>
        <v>1.125</v>
      </c>
      <c r="I521" s="113"/>
      <c r="J521" s="113"/>
      <c r="K521" s="113">
        <f t="shared" si="50"/>
        <v>225</v>
      </c>
      <c r="L521" s="114" t="s">
        <v>604</v>
      </c>
    </row>
    <row r="522" spans="1:12" ht="13.5">
      <c r="A522" s="87" t="s">
        <v>576</v>
      </c>
      <c r="B522" s="90" t="s">
        <v>436</v>
      </c>
      <c r="C522" s="90" t="s">
        <v>449</v>
      </c>
      <c r="D522" s="90" t="s">
        <v>574</v>
      </c>
      <c r="E522" s="84">
        <v>2.4</v>
      </c>
      <c r="F522" s="85">
        <f>96</f>
        <v>96</v>
      </c>
      <c r="G522" s="123">
        <f t="shared" si="48"/>
        <v>230.39999999999998</v>
      </c>
      <c r="H522" s="113">
        <f t="shared" si="49"/>
        <v>1.2</v>
      </c>
      <c r="I522" s="113"/>
      <c r="J522" s="113"/>
      <c r="K522" s="113">
        <f t="shared" si="50"/>
        <v>115.19999999999999</v>
      </c>
      <c r="L522" s="114" t="s">
        <v>604</v>
      </c>
    </row>
    <row r="523" spans="1:12" ht="13.5">
      <c r="A523" s="91" t="s">
        <v>578</v>
      </c>
      <c r="B523" s="67" t="s">
        <v>436</v>
      </c>
      <c r="C523" s="67" t="s">
        <v>449</v>
      </c>
      <c r="D523" s="67" t="s">
        <v>577</v>
      </c>
      <c r="E523" s="62">
        <v>7.1</v>
      </c>
      <c r="F523" s="61">
        <f>167</f>
        <v>167</v>
      </c>
      <c r="G523" s="121">
        <f t="shared" si="48"/>
        <v>1185.7</v>
      </c>
      <c r="H523" s="113">
        <f t="shared" si="49"/>
        <v>3.55</v>
      </c>
      <c r="I523" s="113"/>
      <c r="J523" s="113"/>
      <c r="K523" s="113">
        <f t="shared" si="50"/>
        <v>592.85</v>
      </c>
      <c r="L523" s="114" t="s">
        <v>604</v>
      </c>
    </row>
    <row r="524" spans="1:12" ht="13.5">
      <c r="A524" s="76" t="s">
        <v>579</v>
      </c>
      <c r="B524" s="67" t="s">
        <v>436</v>
      </c>
      <c r="C524" s="67" t="s">
        <v>449</v>
      </c>
      <c r="D524" s="67" t="s">
        <v>577</v>
      </c>
      <c r="E524" s="62">
        <v>7.1</v>
      </c>
      <c r="F524" s="61">
        <f>31</f>
        <v>31</v>
      </c>
      <c r="G524" s="121">
        <f t="shared" si="48"/>
        <v>220.1</v>
      </c>
      <c r="H524" s="113">
        <f t="shared" si="49"/>
        <v>3.55</v>
      </c>
      <c r="I524" s="113"/>
      <c r="J524" s="113"/>
      <c r="K524" s="113">
        <f t="shared" si="50"/>
        <v>110.05</v>
      </c>
      <c r="L524" s="114" t="s">
        <v>604</v>
      </c>
    </row>
    <row r="525" spans="1:12" ht="13.5">
      <c r="A525" s="76" t="s">
        <v>580</v>
      </c>
      <c r="B525" s="66" t="s">
        <v>505</v>
      </c>
      <c r="C525" s="67" t="s">
        <v>528</v>
      </c>
      <c r="D525" s="67" t="s">
        <v>507</v>
      </c>
      <c r="E525" s="62">
        <v>33.5</v>
      </c>
      <c r="F525" s="61">
        <f>9+4</f>
        <v>13</v>
      </c>
      <c r="G525" s="121">
        <f t="shared" si="48"/>
        <v>435.5</v>
      </c>
      <c r="H525" s="113">
        <f t="shared" si="49"/>
        <v>16.75</v>
      </c>
      <c r="I525" s="113"/>
      <c r="J525" s="113"/>
      <c r="K525" s="113">
        <f t="shared" si="50"/>
        <v>217.75</v>
      </c>
      <c r="L525" s="114" t="s">
        <v>604</v>
      </c>
    </row>
    <row r="526" spans="1:12" ht="13.5">
      <c r="A526" s="91" t="s">
        <v>581</v>
      </c>
      <c r="B526" s="67" t="s">
        <v>436</v>
      </c>
      <c r="C526" s="67" t="s">
        <v>437</v>
      </c>
      <c r="D526" s="67" t="s">
        <v>535</v>
      </c>
      <c r="E526" s="62">
        <v>32.5</v>
      </c>
      <c r="F526" s="61">
        <f>6</f>
        <v>6</v>
      </c>
      <c r="G526" s="121">
        <f t="shared" si="48"/>
        <v>195</v>
      </c>
      <c r="H526" s="113">
        <f t="shared" si="49"/>
        <v>16.25</v>
      </c>
      <c r="I526" s="113"/>
      <c r="J526" s="113"/>
      <c r="K526" s="113">
        <f t="shared" si="50"/>
        <v>97.5</v>
      </c>
      <c r="L526" s="114" t="s">
        <v>604</v>
      </c>
    </row>
    <row r="527" spans="1:12" ht="13.5">
      <c r="A527" s="91" t="s">
        <v>397</v>
      </c>
      <c r="B527" s="67" t="s">
        <v>505</v>
      </c>
      <c r="C527" s="67" t="s">
        <v>506</v>
      </c>
      <c r="D527" s="67" t="s">
        <v>507</v>
      </c>
      <c r="E527" s="62">
        <v>21.9</v>
      </c>
      <c r="F527" s="61">
        <f>5*4+11+10+10</f>
        <v>51</v>
      </c>
      <c r="G527" s="121">
        <f t="shared" si="48"/>
        <v>1116.8999999999999</v>
      </c>
      <c r="H527" s="113">
        <f t="shared" si="49"/>
        <v>10.95</v>
      </c>
      <c r="I527" s="113"/>
      <c r="J527" s="113"/>
      <c r="K527" s="113">
        <f t="shared" si="50"/>
        <v>558.4499999999999</v>
      </c>
      <c r="L527" s="114" t="s">
        <v>604</v>
      </c>
    </row>
    <row r="528" spans="3:12" ht="14.25">
      <c r="C528" s="225" t="s">
        <v>623</v>
      </c>
      <c r="D528" s="225"/>
      <c r="E528" s="225"/>
      <c r="F528" s="225"/>
      <c r="G528" s="225"/>
      <c r="K528" s="105">
        <f>SUM(K426:K527)</f>
        <v>41858.46499999999</v>
      </c>
      <c r="L528" s="114" t="s">
        <v>604</v>
      </c>
    </row>
    <row r="529" spans="3:11" ht="18">
      <c r="C529" s="227" t="s">
        <v>622</v>
      </c>
      <c r="D529" s="227"/>
      <c r="E529" s="227"/>
      <c r="F529" s="227"/>
      <c r="G529" s="227"/>
      <c r="K529" s="124">
        <f>K422+K528</f>
        <v>69638.18199999997</v>
      </c>
    </row>
    <row r="531" spans="4:12" ht="18">
      <c r="D531" s="183" t="s">
        <v>613</v>
      </c>
      <c r="E531" s="183"/>
      <c r="F531" s="183"/>
      <c r="G531" s="183"/>
      <c r="K531" s="125">
        <f>H109+K529</f>
        <v>91158.18199999997</v>
      </c>
      <c r="L531" s="126" t="s">
        <v>614</v>
      </c>
    </row>
    <row r="532" ht="25.5" customHeight="1"/>
    <row r="534" spans="1:5" ht="15.75">
      <c r="A534" s="226" t="s">
        <v>601</v>
      </c>
      <c r="B534" s="150" t="s">
        <v>598</v>
      </c>
      <c r="C534" s="150"/>
      <c r="D534" s="150"/>
      <c r="E534" s="150"/>
    </row>
    <row r="535" spans="1:25" s="11" customFormat="1" ht="15.75">
      <c r="A535" s="226"/>
      <c r="B535" s="150" t="s">
        <v>599</v>
      </c>
      <c r="C535" s="150"/>
      <c r="D535" s="150"/>
      <c r="E535" s="150"/>
      <c r="F535" s="30"/>
      <c r="G535" s="12"/>
      <c r="Y535"/>
    </row>
    <row r="536" spans="1:25" s="11" customFormat="1" ht="15.75">
      <c r="A536" s="226"/>
      <c r="B536" s="150" t="s">
        <v>600</v>
      </c>
      <c r="C536" s="150"/>
      <c r="D536" s="150"/>
      <c r="E536" s="150"/>
      <c r="F536" s="30"/>
      <c r="G536" s="12"/>
      <c r="Y536"/>
    </row>
    <row r="537" spans="1:25" s="11" customFormat="1" ht="12.75">
      <c r="A537"/>
      <c r="B537"/>
      <c r="C537" s="30"/>
      <c r="D537"/>
      <c r="E537" s="2"/>
      <c r="F537" s="30"/>
      <c r="G537" s="12"/>
      <c r="Y537"/>
    </row>
    <row r="540" spans="2:8" ht="12.75">
      <c r="B540" s="154" t="s">
        <v>617</v>
      </c>
      <c r="C540" s="154"/>
      <c r="E540" s="127"/>
      <c r="F540" s="127"/>
      <c r="G540" s="223" t="s">
        <v>615</v>
      </c>
      <c r="H540" s="223"/>
    </row>
    <row r="546" spans="2:8" ht="12.75">
      <c r="B546" s="154" t="s">
        <v>618</v>
      </c>
      <c r="C546" s="154"/>
      <c r="G546" s="224" t="s">
        <v>616</v>
      </c>
      <c r="H546" s="224"/>
    </row>
    <row r="554" ht="12.75">
      <c r="L554" s="11" t="s">
        <v>620</v>
      </c>
    </row>
  </sheetData>
  <sheetProtection/>
  <mergeCells count="70">
    <mergeCell ref="A2:K2"/>
    <mergeCell ref="A111:H111"/>
    <mergeCell ref="A81:H81"/>
    <mergeCell ref="A424:K424"/>
    <mergeCell ref="A92:B92"/>
    <mergeCell ref="A93:B93"/>
    <mergeCell ref="A94:B94"/>
    <mergeCell ref="A95:B95"/>
    <mergeCell ref="A103:B103"/>
    <mergeCell ref="A96:B96"/>
    <mergeCell ref="C529:G529"/>
    <mergeCell ref="A98:B98"/>
    <mergeCell ref="A99:B99"/>
    <mergeCell ref="A109:F109"/>
    <mergeCell ref="A100:B100"/>
    <mergeCell ref="A101:B101"/>
    <mergeCell ref="A102:B102"/>
    <mergeCell ref="G540:H540"/>
    <mergeCell ref="G546:H546"/>
    <mergeCell ref="C528:G528"/>
    <mergeCell ref="A3:K3"/>
    <mergeCell ref="A534:A536"/>
    <mergeCell ref="G46:G47"/>
    <mergeCell ref="C422:G422"/>
    <mergeCell ref="K112:K113"/>
    <mergeCell ref="A106:B106"/>
    <mergeCell ref="A107:B107"/>
    <mergeCell ref="L113:L114"/>
    <mergeCell ref="A1:K1"/>
    <mergeCell ref="A4:K4"/>
    <mergeCell ref="A5:K5"/>
    <mergeCell ref="H112:H113"/>
    <mergeCell ref="C6:C7"/>
    <mergeCell ref="F6:F7"/>
    <mergeCell ref="C108:E108"/>
    <mergeCell ref="A104:B104"/>
    <mergeCell ref="A105:B105"/>
    <mergeCell ref="A97:B97"/>
    <mergeCell ref="A87:B87"/>
    <mergeCell ref="G82:G83"/>
    <mergeCell ref="H82:H83"/>
    <mergeCell ref="A86:B86"/>
    <mergeCell ref="A88:B88"/>
    <mergeCell ref="A89:B89"/>
    <mergeCell ref="A90:B90"/>
    <mergeCell ref="A91:B91"/>
    <mergeCell ref="K82:K83"/>
    <mergeCell ref="A83:B83"/>
    <mergeCell ref="A84:B84"/>
    <mergeCell ref="A85:B85"/>
    <mergeCell ref="H6:H7"/>
    <mergeCell ref="H46:H47"/>
    <mergeCell ref="K46:K47"/>
    <mergeCell ref="C58:E58"/>
    <mergeCell ref="G58:G59"/>
    <mergeCell ref="H58:H59"/>
    <mergeCell ref="K58:K59"/>
    <mergeCell ref="C27:D27"/>
    <mergeCell ref="C41:D41"/>
    <mergeCell ref="C46:D46"/>
    <mergeCell ref="A8:A13"/>
    <mergeCell ref="K6:K7"/>
    <mergeCell ref="A14:A18"/>
    <mergeCell ref="A27:A28"/>
    <mergeCell ref="C26:F26"/>
    <mergeCell ref="G26:G28"/>
    <mergeCell ref="H26:H28"/>
    <mergeCell ref="K26:K28"/>
    <mergeCell ref="D6:E6"/>
    <mergeCell ref="G6:G7"/>
  </mergeCells>
  <printOptions/>
  <pageMargins left="0.29" right="0.63" top="0.15" bottom="0.34" header="0.21" footer="0.29"/>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2017-04-26T11:41:36Z</cp:lastPrinted>
  <dcterms:created xsi:type="dcterms:W3CDTF">2012-08-21T10:01:23Z</dcterms:created>
  <dcterms:modified xsi:type="dcterms:W3CDTF">2017-04-26T11:42:02Z</dcterms:modified>
  <cp:category/>
  <cp:version/>
  <cp:contentType/>
  <cp:contentStatus/>
</cp:coreProperties>
</file>