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ΣΕΠΤΕΜΒΡΙΟΣ 2017 ΕΚΠΟΙΗΣΗ  " sheetId="1" r:id="rId1"/>
  </sheets>
  <definedNames>
    <definedName name="_xlnm.Print_Area" localSheetId="0">'ΣΕΠΤΕΜΒΡΙΟΣ 2017 ΕΚΠΟΙΗΣΗ  '!$A$1:$L$546</definedName>
  </definedNames>
  <calcPr fullCalcOnLoad="1"/>
</workbook>
</file>

<file path=xl/sharedStrings.xml><?xml version="1.0" encoding="utf-8"?>
<sst xmlns="http://schemas.openxmlformats.org/spreadsheetml/2006/main" count="2237" uniqueCount="622">
  <si>
    <t xml:space="preserve"> ΕΠΙΠΛΑ  ΚΑΙ ΛΟΙΠΟΣ ΕΞΟΠΛΙΣΜΟΣ ΤΗΣ ΥΠΟ ΕΚΚΑΘΑΡΙΣΗ "ΟΠΕΠ ΑΕ "ΠΡΟΣ ΕΚΠΟΙΗΣΗ                                                                                                                                                                              </t>
  </si>
  <si>
    <t xml:space="preserve">Η Ανώνυμη Εταιρία με την επωνυμία "ΟΡΓΑΝΙΣΜΟΣ ΠΡΟΒΟΛΗΣ ΕΛΛΗΝΙΚΟΥ ΠΟΛΙΤΙΣΜΟΥ ΑΕ -ΥΠΟ ΕΚΚΑΘΑΡΙΣΗ" ( ΟΠΕΠ ΑΕ Υπό  Εκκαθάριση) που εδρεύει στην οδό Σουλτάνη 6 τκ 10682- Εξάρχεια -Αθήνα, εποπτευόμενος φορέας του Υπουργείου Πολιτισμού και Αθλητισμού  και με τον ν 4002/22.08.2011 λύθηκε και τέθηκε σε εκκαθάριση.Στο πλαίσιο των κείμενων διατάξεων "περί εκκαθάρισης ανωνύμων εταιριών" ο εντολοδόχος εκκαθαριστής ( ΦΕΚ Β 2732/31.08.2016) για την εξυπηρέτηση των συμφερόντων της εταιρίας, αλλά και του δημοσίου, εκποιεί κινητά περιουσιακά της στοιχεία. Σε αυτά περιλαμβάνονται επιβατικά αυτοκίνητα, έπιπλα και λοιπός εξοπλισμός γραφείων. Ακόμη περιλαμβάνονται εμπορεύματα που αφορούν πολιτιστικά προϊόντα όπως, αντίγραφα ειδωλίων,νομισμάτων,κοσμημάτων,σκευών κ.α ευρημάτων σε αρχαιολογικούς χώρους, καθώς και σύγχρονες χρησρικές εφαρμοσές τους. Για την εκποίηση αναγγέλει πρόσκληση ενδιαφέροντος προς υποψήφιους αγοραστές.Οι ενδιαφερόμενοι μπορούν να προσέρχονται στα γραφεία της εταιρίαςστην ως άνω διεύθυνση για να λάβουν γνώση των αναλυτικών καταλόγων ανά είδος με την αντίστοιχη εναρκτήρια τιμή πώλησης τους, από Τρίτη 19/09/2017 έως τη Δευτέρα 25/09/2017 από τις 10:00 π.μ έως τις 13:00 μ.μ. Δύνανται ακόμη να πληροφορηθούν για την διαδικασία εκποίηση τους και τον προγραμματισμό επισκεψιμότητας τους στους χώρους όπου αυτά φυλάσσονται, δηλαδή στο πρώην αεροδρόμιο του Ελληνικού. Έως και έως τη Δευτέρα 25/09/2017 (από 10:00 π.μ έως στις 13:00μ.μ) στην ως άνω διεύθυνση μπορούν να υποβάλλουν σε ανοικτούς φακέλους τις σχετικές προσφορές τους. Σε αυτές θα πρέπει να περιλαμβάνονται τα πλήρη στοιχεία του αγοραστή, ονοματεπώνυμο, ή επωνυμία της εταιρίας, ΑΦΜ, διεύθυνση, τηλέφωνα επικοινωνίας.Σημειωτέον ότι, οι προσφορές για το σύνολο ή και ομαδική αγορά αντικειμένων( επίπλων, λοιπού εξοπλισμού, και εμπορευμάτων) θα τύχουν προτεραιότητας. </t>
  </si>
  <si>
    <t>ΔΙΑΘΕΣΗ ΑΠΟ ΤΟΝ ΧΩΡΟ ΑΠΟΘΗΚΕΥΣΗΣ -ΑΘΗΝΑ  ΠΡΩΗΝ ΑΕΡΟΔΡΟΜΙΟ ΕΛΛΗΝΙΚΟΥ</t>
  </si>
  <si>
    <t xml:space="preserve"> ΓΡΑΦΕΙΑ </t>
  </si>
  <si>
    <t>ΠΕΡΙΓΡΑΦΗ ΕΙΔΟΥΣ</t>
  </si>
  <si>
    <t xml:space="preserve">ΔΙΑΣΤΑΣΕΙΣ ΣΕ cm </t>
  </si>
  <si>
    <t xml:space="preserve">ΤΕΜΑΧΙΑ </t>
  </si>
  <si>
    <t xml:space="preserve">ΣΥΝΟΛΟ ΤΕΜΑΧΙΩΝ </t>
  </si>
  <si>
    <t>Εκτιμώμενη Σημερινή αξία Τεμ</t>
  </si>
  <si>
    <t>Γενικό Σύνολο</t>
  </si>
  <si>
    <t>ΠΑΛΑΙΟΤΗΤΑ     ΛΕΙΤΟΥΡΓΙΚΗ ΚΑΤΑΣΤΑΣΗ (*)</t>
  </si>
  <si>
    <t>ΓΡΑΦΕΙΑ</t>
  </si>
  <si>
    <t>ΧΡΩΜΑΤΟΣ ΚΑΦΕ</t>
  </si>
  <si>
    <t>ΧΡΩΜΑΤΟΣ ΓΚΡΙ</t>
  </si>
  <si>
    <t xml:space="preserve">ΓΡΑΦΕΙΑ  ΞΥΛΙΝΑ ΜΕ ΜΕΤΑΛΛΙΚΑ ΠΟΔΙΑ &amp; ΓΩΝΙΑ -SATO                                        ( ΣΥΝΑΡΜΟΛΟΓΟΥΜΕΝΟ)                                                                                                                                                    </t>
  </si>
  <si>
    <t>80χ140</t>
  </si>
  <si>
    <t>Β</t>
  </si>
  <si>
    <t>80χ160</t>
  </si>
  <si>
    <t>80Χ180</t>
  </si>
  <si>
    <t>80χ120</t>
  </si>
  <si>
    <t>60χ80</t>
  </si>
  <si>
    <t>80x140</t>
  </si>
  <si>
    <t xml:space="preserve">ΓΡΑΦΕΙΑ   ΞΥΛΙΝO ΜΕ ΜΕΤΑΛΛΙΚΑ ΠΟΔΙΑ ΧΩΡΙΣ ΓΩΝΙΑ  SATO (ΣΥΝΑΡΜΟΛΟΓΟΎΜΕΝΟ) </t>
  </si>
  <si>
    <t>80x160</t>
  </si>
  <si>
    <t>60x120</t>
  </si>
  <si>
    <t>80x200</t>
  </si>
  <si>
    <t>ΓΡΑΦΕΙΟ ΞΥΛΙΝΟ</t>
  </si>
  <si>
    <t>200cm μήκος ΣΧΗΜΑΤΟΣ ΟΒΑΛ</t>
  </si>
  <si>
    <t xml:space="preserve"> ΓΡΑΦΕΙΟ (ΤΡΑΠΕΖΑΚΙ) ΞΥΛΙΝΟ</t>
  </si>
  <si>
    <t xml:space="preserve">ΤΡΑΠΕΖΙ ΡΟΤΟΝΤΑ ΜΕ  ΜΕΤΑΛΛΙΚΗ ΒΑΣΗ &amp; ΓΥΑΛΙΝΟ ΚΑΠΑΚΙ </t>
  </si>
  <si>
    <t>διαμετρου 120cm</t>
  </si>
  <si>
    <t>ΤΡΑΠΕΖΙ ΣΥΝΕΔΡΙΑΣΕΩΝ  ΤΥΠΟΥ "ΚΡΟΝΟΣ"  ΞΥΛΙΝΟ</t>
  </si>
  <si>
    <t>500χ180</t>
  </si>
  <si>
    <t xml:space="preserve"> ΞΥΛΙΝΟ ΤΡΑΠΕΖΑΚΙ </t>
  </si>
  <si>
    <t>ΣΕΤ ΕΠΙΠΛΩΝ ΔΙΟΙΚΗΣΗΣ                                                                                                                       ( ΓΡΑΦΕΙΟ,ΕΡΜΑΡΙΟ,ΓΩΝΙΑ ΓΡΑΦΕΙΟΥ, ΒΟΗΘΗΤΙΚΟΣ ΠΑΓΚΟΣ, ΣΥΡΤΑΡΙΕΡΑ)</t>
  </si>
  <si>
    <t>ΓΕΝΙΚΗ ΑΞΙΑ ΓΡΑΦΕΙΩΝ</t>
  </si>
  <si>
    <t xml:space="preserve">ΠΕΡΙΓΡΑΦΗ ΕΙΔΟΣ </t>
  </si>
  <si>
    <t xml:space="preserve">ΜΕΤΑΛΛΙΚΑ </t>
  </si>
  <si>
    <t>ΞΥΛΟ ΟΞΥΑ</t>
  </si>
  <si>
    <t>ΞΥΛΟ ΚΕΡΑΣΙΑ</t>
  </si>
  <si>
    <t xml:space="preserve">ΣΥΝΟΛΟ </t>
  </si>
  <si>
    <t xml:space="preserve"> ΧΡΩΜΑΤΟΣ ΓΚΡΙ</t>
  </si>
  <si>
    <t xml:space="preserve">ΕΡΜΑΡΙΟ  ΚΟΝΤΟ-ΔΙΦΥΛΛΟ </t>
  </si>
  <si>
    <t>ΕΡΜΑΡΙΟ ΜΕΣΑΙΟ -ΔΙΦΥΛΛΟ</t>
  </si>
  <si>
    <t xml:space="preserve">ΕΡΜΑΡΙΟ ΜΕΣΑΙΟ -ΔΙΦΥΛΛΟ ΚΕΡΑΣΙΑ </t>
  </si>
  <si>
    <t>ΕΡΜΑΡΙΑ ΜΕΓΑΛΑ-ΝΤΟΥΛΑΠΑ -ΔΙΦΥΛΛΑ</t>
  </si>
  <si>
    <t xml:space="preserve">ΡΑΦΙΕΡΑ ΜΕΣΑΙΑ </t>
  </si>
  <si>
    <t xml:space="preserve">ΡΑΦΙΕΡΑ ΜΕΓΑΛΗ  </t>
  </si>
  <si>
    <t>ΣΥΡΤΙΑΡΙΕΡΑ ΓΡΑΦΕΙΟΥ</t>
  </si>
  <si>
    <t>ΓΕΝΙΚΟ ΣΥΝΟΛΟ ΕΡΜΑΡΙΩΝ</t>
  </si>
  <si>
    <t>ΝΤΟΥΛΑΠΕΣ</t>
  </si>
  <si>
    <t>ΜΕΤΑΛΛΙΚΕΣ</t>
  </si>
  <si>
    <t>ΣΥΝΟΛΟ</t>
  </si>
  <si>
    <t>ΝΤΟΥΛΑΠΙ ΚΟΝΤΟ ΞΥΛΙΝΟ</t>
  </si>
  <si>
    <t>ΓΕΝΙΚΟ ΑΞΙΑ ΝΤΟΥΛΑΠΙΩΝ</t>
  </si>
  <si>
    <t xml:space="preserve">ΚΑΡΕΚΛΕΣ </t>
  </si>
  <si>
    <t>ΠΛΑΣΤΙΚΗ</t>
  </si>
  <si>
    <t xml:space="preserve">ΔΕΡΜΑ </t>
  </si>
  <si>
    <t>ΥΦΑΣΜΑ</t>
  </si>
  <si>
    <t>ΜΑΥΡΗ</t>
  </si>
  <si>
    <t>ΓΚΡΙ</t>
  </si>
  <si>
    <t>ΒΥΣΣΙΝΙ</t>
  </si>
  <si>
    <t>ΚΑΡΕΚΛΑ ΕΠΙΣΚΕΠΤΗ ΜΕ ΒΡΑΧΙΟΝΕΣ ΜΕ ΒΑΣΗ</t>
  </si>
  <si>
    <t>ΚΑΡΑΚΛΑ ΕΠΙΣΚΕΠΤΗΜΕ ΒΡΑΧΙΟΝΕΣ ΠΟΔΙΑ INOX</t>
  </si>
  <si>
    <t>ΚΑΡΕΚΛΑ ΕΡΓΑΣΙΑΣ ΜΕ ΒΡΑΧΙΟΝΕΣ &amp; ΡΟΔΕΣ</t>
  </si>
  <si>
    <t xml:space="preserve">ΠΟΛΥΘΡΟΝΑ ΣΤΡΟΓΓΥΛΗ ΜΕ ΡΟΔΕΣ </t>
  </si>
  <si>
    <t>ΠΟΛΥΘΡΟΝΕΣ ΜΕ ΜΕΤΑΛΛΙΚΑ ΠΟΔΙΑ</t>
  </si>
  <si>
    <t>ΓΕΝΙΚΗ ΑΞΙΑ ΚΑΡΕΚΛΩΝ</t>
  </si>
  <si>
    <t>ΚΑΝΑΠΕΔΕΣ</t>
  </si>
  <si>
    <t>ΔΕΡΜΑ</t>
  </si>
  <si>
    <t>ΜΑΥΡΟ</t>
  </si>
  <si>
    <t>ΚΑΦΕ</t>
  </si>
  <si>
    <t>ΚΑΝΑΠΕΣ ΔΙΘΕΣΙΟΣ ΜΕ ΜΕΤΑΛΛΙΚΟΥΣ ΒΡΑΧΙΟΝΕΣ</t>
  </si>
  <si>
    <t xml:space="preserve">ΚΑΝΑΠΕΣ ΤΡΙΘΕΣΙΟΣ </t>
  </si>
  <si>
    <t>ΚΑΝΑΠΕΣ ΤΡΙΘΕΣΙΟΣ ΜΕ ΜΕΤΑΛΛΙΚΑ ΠΟΔΙΑ ΚΑΙ ΒΡΑΧΙΟΝΕΣ</t>
  </si>
  <si>
    <t>ΣΕΤ ΣΑΛΟΝΙΟΥ ( ΚΑΝΑΠΕΣ ΤΡΙΘΕΣΙΟΣ ,ΔΥΟ ΠΟΛΥΘΡΟΝΕΣ)</t>
  </si>
  <si>
    <t>ΓΕΝΙΚΗ ΑΞΙΑ ΚΑΝΑΠΕΔΩΝ</t>
  </si>
  <si>
    <t>ΛΟΙΠΑ ΕΠΙΠΛΑ &amp; ΕΞΟΠΛΙΣΜΟΣ</t>
  </si>
  <si>
    <t>ΣΕΤ ΕΠΙΠΛΩΝ ΥΠΟΔΟΧΗΣ ΧΡΩΜΑΤΟΣ ΠΡΑΣΙΝΟ ΞΥΛΙΝΟ                                                            ( ΝΤΟΥΛΑΠΙΑ ,ΠΑΓΚΟΣ , ΤΡΑΠΕΖΑΚΙ, ΒΙΤΡΙΝΑ )</t>
  </si>
  <si>
    <t>ΕΠΙΠΛΩΣΗ ΠΩΛΗΤΗΡΙΟΥ ΣΥΝΑΡΜΟΛΟΓΟΥΜΕΝΗ  (ΒΕΤΡΙΝΕΣ ΤΟΠΟΘΕΤΗΣΗΣ ΕΚΘΕΜΑΤΩΝ .ΝΤΟΥΛΑΠΙΑ ΑΠΟΘΗΚΕΥΣΗΣ, ΒΟΗΘΗΤΙΚΟΙ ΠΑΓΚΟΙ,) ΧΡΩΜΑΤΟΣ ΑΝΟΙΚΤΟ ΚΕΡΑΜΥΔΙ</t>
  </si>
  <si>
    <t>ΣΕΤ ΓΚΑΡΝΤΑΡΟΜΠΑΣ Δ.Σ (ΣΥΝΑΡΜΟΛΟΓΟΥΜΕΝΗ)</t>
  </si>
  <si>
    <t>ΕΠΙΠΛΟ  TV</t>
  </si>
  <si>
    <t>ΚΛΙΜΑΤΙΣΤΙΚΗ ΜΟΝΑΔΑ Χ-FTX560VIB/X-RX560E2VIB</t>
  </si>
  <si>
    <t>B</t>
  </si>
  <si>
    <t>ΚΛΙΜΑΤΙΣΤΙΚΗ ΜΟΝΑΔΑ FUJIRO&amp;RS-12/140OC-ΤΟΙΧΟΥ</t>
  </si>
  <si>
    <t>ΚΛΙΜΑΤΙΣΤΙΚΗ ΜΟΝΑΔΑ GENERAL AOH-12USCC-ΤΟΙΧΟΥ</t>
  </si>
  <si>
    <t>ΚΛΙΜΑΤΙΣΤΙΚΗ ΜΟΝΑΔΑ SPUT INTVERTE RAV-SMB</t>
  </si>
  <si>
    <t>ΓΕΝΙΚΟ ΑΞΙΑ ΛΟΙΠΩΝ ΕΠΙΠΛΩΝ &amp; ΕΞΟΠΛΙΣΜΟΥ</t>
  </si>
  <si>
    <t>ΜΕΤΑΦΟΡΙΚΑ ΜΕΣΑ</t>
  </si>
  <si>
    <t>AYTOKINHTA  ΙΧ</t>
  </si>
  <si>
    <t xml:space="preserve">MODELO </t>
  </si>
  <si>
    <t>Αριθ. Κυκλοφ</t>
  </si>
  <si>
    <t xml:space="preserve">MITSUBISHI SPACE WAGON   1997cc  ΧΡΩΜΑ ΒΥΣΣΙΝΙ   </t>
  </si>
  <si>
    <t>NZO  5034</t>
  </si>
  <si>
    <t>VOLKS WAGEN GOLF            1595cc   ΧΡΩΜΑ ΜΑΥΡΟ</t>
  </si>
  <si>
    <t>ZZK  6856</t>
  </si>
  <si>
    <t>FORD  MONDEO                     1999cc   ΧΡΩΜΑ ΑΣΗΜΙ</t>
  </si>
  <si>
    <t>ZMB   5784</t>
  </si>
  <si>
    <t>ΓΕΝΙΚΗ ΑΞΙΑ ΟΧΗΜΑΤΩΝ</t>
  </si>
  <si>
    <t xml:space="preserve">ΕΠΙΠΛΑ &amp; ΛΟΙΠΟΣ ΕΞΟΠΛΙΣΜΟΣ ΠΟΥ ΔΙΑΤΙΘΕΝΤΑΙ ΠΡΟΣ ΠΩΛΗΣΗ ΑΠΟ ΤΟΝ ΧΩΡΟ ΑΠΟΘΗΚΕΥΣΗΣ -ΘΕΣΣΑΛΟΝΙΚΗ ΚΤΙΡΙΟ ΕΠΙ ΤΗΣ ΟΔΟΥ ΣΑΧΤΟΥΡΗ 34Α ΑΝΩ ΠΟΛΗ </t>
  </si>
  <si>
    <t>ΕΠΙΠΛΩΣΗ ΓΡΑΦΕΙΟΥ</t>
  </si>
  <si>
    <t>ΣΥΝΟΛΟ ΤΕΜΑΧΙΩΝ</t>
  </si>
  <si>
    <t xml:space="preserve"> ΓΡΑΦΕΙΟ ΤΥΠΟΥ"FI" (160X80) MAT KERAM. SATO</t>
  </si>
  <si>
    <t xml:space="preserve"> ΓΡΑΦΕΙΑ 160χ80  SATO</t>
  </si>
  <si>
    <t xml:space="preserve"> ΓΡΑΦΕΙΑ ΟΞΥΑ"FI"(140X80) SATO</t>
  </si>
  <si>
    <t xml:space="preserve"> ΠΡΟΕΚ/ΣΕΙΣ ΓΡΑΦ."FI" ΟΞΥΑ ΑΡΙΣ. SATO</t>
  </si>
  <si>
    <t xml:space="preserve"> ΠΡΟΕΚ/ΣΕΙΣ ΓΡΑΦ."FI" ΟΞΥΑ ΔΕΞ. SATO</t>
  </si>
  <si>
    <t>ΤΡΑΠΕΖΙ ΣΥΣΚΕΨ. "FI" 120 KEΡ. SATO</t>
  </si>
  <si>
    <t>ΤΡΑΠΕΖΙ ΣΥΜ."FI"( 200Χ100) ΚΕΡ. SATO</t>
  </si>
  <si>
    <t>ΚΑΘΙΣΜΑ "FI-DEL" Δ/ΝΤΗ ΔΕΡΜΑΤΙΝΟ SATO</t>
  </si>
  <si>
    <t>ΣΥΡΤΑΡΙΕΡΑ "FI" ΑΣΗΜΙ .Χ.Β SATO</t>
  </si>
  <si>
    <t xml:space="preserve"> ΕΡΜΑΡΙΑ "FILOS"(80X70) ΜΕΤΑΛ. SATO</t>
  </si>
  <si>
    <t xml:space="preserve"> ΜΕΤΑΛΙΚΑ  ΡΑΦΙΑ "FELLOW"</t>
  </si>
  <si>
    <t>ΒΙΒΛΙΟΘΗΚΕΣ (80Χ160)ΑΣΗΜΙ SATO</t>
  </si>
  <si>
    <t xml:space="preserve"> ΚΑΘΙΣΜΑΤΑ ΤΥΠΟΥ "F-DEL"  SATO ΔΕΡΜΑΤΙΝΑ</t>
  </si>
  <si>
    <t xml:space="preserve"> ΚΑΘΙΣΜΑΤΑ TYΠOY "MODY" SATO  ΜΑΥΡΑ</t>
  </si>
  <si>
    <t>ΚΑΝΑΠΕΣ "CAMALEONTE" SATO</t>
  </si>
  <si>
    <t>ΣΥΡΤΑΡΙΕΡΕΣ "FI"ΤΡ. ΑΣΗΜΙ SATO</t>
  </si>
  <si>
    <t>ΕΡΜΑΡΙΑ ΞΥΛΙΝΑ SATO</t>
  </si>
  <si>
    <t xml:space="preserve">ΚΑΘΙΣΜΑΤΑ ΕΡΓΑΣΙΑΣ </t>
  </si>
  <si>
    <t>ΠΑΓΚΟΙ ΕΡΓΑΣΙΑΣ ΤΕΜΑΧ.</t>
  </si>
  <si>
    <t xml:space="preserve">ΚΑΘΙΣΜΑΤΑ ΕΡΓΑΣΙΑΣ ΤΥΠΟΥ  "SATOLI"  </t>
  </si>
  <si>
    <t>ΒΙΒΛΙΟΘΗΚΗ ΑΡΧΕΙΟΥ</t>
  </si>
  <si>
    <t>ΔΙΑΧΩΡΙΣΤΙΚΑ ΓΡΑΦΕΙΟΥ ΤΕΜ 5   SATO</t>
  </si>
  <si>
    <t>ΤΗΛΕΠΙΚΟΙΝΩΝΙΑΚΟ ΚΕΝΤΡΟ "ALKATEL"</t>
  </si>
  <si>
    <t>ΑΝΤΙΗΛΙΑΚΑ STOR "ABNTINI"25Χ188</t>
  </si>
  <si>
    <t xml:space="preserve">ΣΥΝΟΛΟ ΑΞΙΑΣ ΕΠΙΠΛΩΝ ΥΠΟΚ/ΤΟΣ ΘΕΣ/ΝΙΚΗΣ </t>
  </si>
  <si>
    <t xml:space="preserve">ΓΕΝΙΚΗ ΑΞΙΑ ΕΠΙΠΛΩΝ - ΛΟΙΠΟΥ ΕΞΟΠΛΙΣΜΟΥ &amp; ΟΧΗΜΑΤΩΝ </t>
  </si>
  <si>
    <t xml:space="preserve">ΕΜΠΟΡΕΥΜΑΤΑ( ΠΡΟΪΟΝΤΑ) ΠΡΟΣ ΕΚΠΟΙΗΣΗ-ΔΙΑΘΕΣΗ ΑΠΟ ΤΟΝ ΧΩΡΟ ΑΠΟΘΗΚΕΥΣΗΣ- ΑΘΗΝΑ  ΠΡΩΗΝ ΑΕΡΟΔΡΟΜΙΟ ΕΛΛΗΝΙΚΟΥ </t>
  </si>
  <si>
    <t xml:space="preserve">ΠΡΟΪΟΝΤΑ ΑΝΑ ΚΩΔΙΚΟ ΕΙΔΟΥΣ ΓΙΑ ΠΩΛΗΤΗΡΙΑ </t>
  </si>
  <si>
    <t>Εκτιμώμενο Σημερινό Κόστος Προ Φπα</t>
  </si>
  <si>
    <t>Γενικό Σύνολο  Προ Φπα</t>
  </si>
  <si>
    <t>Τίτλος  στα Ελληνικά</t>
  </si>
  <si>
    <t>ΠΕΡΙΓΡΑΦΗ ΚΑΙ ΧΑΡΑΚΤΗΡΙΣΤΑ ΑΝ ΕΙΔΟΣ</t>
  </si>
  <si>
    <t>Κόστος Μονάδος χωρίς ΦΠΑ:</t>
  </si>
  <si>
    <t xml:space="preserve"> ΤΕΜΑΧΙΑ</t>
  </si>
  <si>
    <t xml:space="preserve">ΣΥΝΟΛΟ ΑΞΙΑΣ ΕΜΠΟΡΕΥΜΑΤΩΝ </t>
  </si>
  <si>
    <t>ΠΗΛΙΝΟΣ ΔΙΣΚΟΣ ΦΑΙΣΤΟΥ</t>
  </si>
  <si>
    <t>Πιστά Αντίγραφα</t>
  </si>
  <si>
    <t>Κεραμικά</t>
  </si>
  <si>
    <t>Αντίγραφα</t>
  </si>
  <si>
    <t>A</t>
  </si>
  <si>
    <t>ΜΥΚΗΝΑΙΚΟ ΕΙΔΩΛΙΟ ΤΥΠΟΥ Ψ</t>
  </si>
  <si>
    <t>Ειδώλιο</t>
  </si>
  <si>
    <t>Α</t>
  </si>
  <si>
    <t>ΑΓΑΛΜΑΤΙΟ ΚΟΥΡΟΥ</t>
  </si>
  <si>
    <t>Μεταλλικά</t>
  </si>
  <si>
    <t>ΑΓΑΛΜΑΤΙΟ ΑΝΤΡΙΚΗΣ ΜΟΡΦΗΣ</t>
  </si>
  <si>
    <t>ΠΡΟΤΟΜΗ ΣΚΥΛΟΥ</t>
  </si>
  <si>
    <t>ΚΕΦΑΛΙ ΤΟΥ ΗΡΑΚΛΗ ΜΕ ΛΕΟΝΤΗ</t>
  </si>
  <si>
    <t>Κεφαλή</t>
  </si>
  <si>
    <t>ΛΥΧΝΟΣ ΣΕ ΣΧΗΜΑ ΠΛΟΙΟΥ</t>
  </si>
  <si>
    <t>ΑΝΑΘΗΜΑΤΙΚΟ ΑΝΑΓΛΥΦΟ ΣΚΕΠΤΟΜΕΝΗ ΑΘΗΝΑ</t>
  </si>
  <si>
    <t>Ανάγλυφο</t>
  </si>
  <si>
    <t>ΑΝΑΓΛΥΦΟ ΜΕ ΠΑΡΑΣΤΑΣΗ ΑΘΗΝΑΪΚΗΣ ΤΡΙΗΡΟΥΣ (ΠΟΛΕΜΙΚΟ ΠΛΟΙΟ)</t>
  </si>
  <si>
    <t>ΘΡΑΥΣΜΑ ΑΝΑΘΗΜΑΤΙΚΟΥ ΑΝΑΓΛΥΦΟΥ ΜΕ ΠΑΡΑΣΤΑΣΗ ΑΣΚΛΗΠΙΟΥ</t>
  </si>
  <si>
    <t>ΚΑΛΥΜΜΑ ΚΑΘΡΕΦΤΗ</t>
  </si>
  <si>
    <t>ΚΕΦΑΛΙ  ΤΗΣ ΥΓΕΙΑΣ (ΑΠΟ ΤΗΝ ΤΕΓΕΑ)</t>
  </si>
  <si>
    <t>ΑΝΑΘΗΜΑΤΙΚΟ ΑΝΑΓΛΥΦΟ (ΠΟΙΗΤΗΣ)</t>
  </si>
  <si>
    <t>ΓΥΝΑΙΚΕΙΟ ΕΙΔΩΛΙΟ</t>
  </si>
  <si>
    <t>ΒΑΣΗ ΚΑΘΡΕΦΤΗ ΜΕ ΓΥΝΑΙΚΕΙΑ ΜΟΡΦΗ</t>
  </si>
  <si>
    <t>ΑΦΡΟΔΙΤΗ ΠΑΝΩ ΣΕ ΔΕΛΦΙΝΙ</t>
  </si>
  <si>
    <t>Άγαλμα</t>
  </si>
  <si>
    <t>ΤΜΗΜΑ ΕΙΔΩΛΙΟΥ ΓΥΝΑΙΚΕΙΑΣ ΜΟΡΦΗΣ, ΙΣΩΣ ΝΙΚΗΣ</t>
  </si>
  <si>
    <t>ΕΙΔΩΛΙΟ ΛΑΓΟΥ</t>
  </si>
  <si>
    <t>ΕΠΙΤΥΜΒΙΑ ΣΤΗΛΗ ΜΕ ΠΑΡΑΣΤΑΣΗ ΨΑΡΑ</t>
  </si>
  <si>
    <t>ΕΙΔΩΛΙΟ ΤΕΛΕΣΦΟΡΟΥ</t>
  </si>
  <si>
    <t>ΣΥΜΠΛΕΓΜΑ  ΕΡΩΤΑ ΚΑΙ ΨΥΧΗΣ</t>
  </si>
  <si>
    <t>ΑΝΑΓΛΥΦΟ ΗΡΩΑ-ΙΠΠΕΑ</t>
  </si>
  <si>
    <t>ΠΥΞΙΔΑ</t>
  </si>
  <si>
    <t>ΚΕΦΑΛΙ ΚΥΚΛΑΔΙΚΟΥ ΕΙΔΩΛΙΟΥ</t>
  </si>
  <si>
    <t>ΕΙΔΩΛΙΟ ΛΑΤΡΗ</t>
  </si>
  <si>
    <t>ΤΟΙΧΟΓΡΑΦΙΑ ΠΑΡΙΖΙΑΝΑ</t>
  </si>
  <si>
    <t>Τοιχογραφίες</t>
  </si>
  <si>
    <t>ΤΟΙΧΟΓΡΑΦΙΑ ΛΕΥΚΟ ΠΕΡΙΣΤΕΡΙ</t>
  </si>
  <si>
    <t>ΤΟΙΧΟΓΡΑΦΙΑ ΠΡΟΤΟΜΗ ΑΦΡΟΔΙΤΗΣ</t>
  </si>
  <si>
    <t>ΤΟΙΧΟΓΡΑΦΙΑ ΧΕΛΙΔΟΝΟΨΑΡΑ</t>
  </si>
  <si>
    <t>ΑΡΓΥΡΟΣ ΣΤΑΤΗΡΑΣ ΓΟΡΤΥΝΑΣ</t>
  </si>
  <si>
    <t>Νομίσματα</t>
  </si>
  <si>
    <t>ΑΡΓΥΡΗ ΔΡΑΧΜΗ ΤΕΝΕΔΟΥ</t>
  </si>
  <si>
    <t>ΑΡΓΥΡΟ ΤΕΤΡΑΔΡΑΧΜΟ - ΚΟΙΝΟΝ ΧΑΛΚΙΔΕΩΝ</t>
  </si>
  <si>
    <t>ΑΡΓΥΡΟΣ ΣΤΑΤΗΡΑΣ ΔΗΛΟΥ</t>
  </si>
  <si>
    <t>ΧΡΥΣΟΣ ΣΤΑΤΗΡΑΣ ΦΙΛΙΠΠΟΥ Β</t>
  </si>
  <si>
    <t>ΧΡΥΣΟΣ ΣΤΑΤΗΡΑΣ ΜΕΓΑΛΟΥ ΑΛΕΞΑΝΔΡΟΥ</t>
  </si>
  <si>
    <t>ΑΡΓΥΡΟΣ ΣΤΑΤΗΡΑΣ ΣΕΡΙΦΟΥ.</t>
  </si>
  <si>
    <t>ΑΡΓΥΡΟΣ ΣΤΑΤΗΡΑΣ ΛΥΤΤΟΥ.</t>
  </si>
  <si>
    <t>ΑΡΓΥΡΟΣ ΣΤΑΤΗΡΑΣ ΑΙΓΙΝΑΣ</t>
  </si>
  <si>
    <t>ΑΡΓΥΡΟΣ ΣΤΑΤΗΡΑΣ ΠΑΡΟΥ</t>
  </si>
  <si>
    <t>ΑΡΓΥΡΗ ΔΡΑΧΜΗ ΣΙΦΝΟΥ</t>
  </si>
  <si>
    <t>ΑΡΓΥΡΟ ΤΕΤΡΑΔΡΑΧΜΟ ΣΑΜΟΥ</t>
  </si>
  <si>
    <t>ΑΡΓΥΡΟΣ ΣΤΑΤΗΡΑΣ ΧΙΟΥ</t>
  </si>
  <si>
    <t>ΑΡΓΥΡΟ ΤΡΙΩΒΟΛΟ ΤΗΝΟΥ</t>
  </si>
  <si>
    <t>ΑΡΓΥΡΟΣ ΣΤΑΤΗΡΑΣ ΚΑΡΠΑΘΟΥ</t>
  </si>
  <si>
    <t>ΑΡΓΥΡΟΣ ΣΤΑΤΗΡΑΣ ΜΗΛΟΥ</t>
  </si>
  <si>
    <t>ΚΥΚΛΑΔΙΚΟ ΕΙΔΩΛΙΟ ΑΥΛΗΤΗ</t>
  </si>
  <si>
    <t>ΤΟΙΧΟΓΡΑΦΙΑ "ΧΕΛΙΔΟΝΙ ΠΟΥ ΠΕΤΑΕΙ"</t>
  </si>
  <si>
    <t>ΤΟΙΧΟΓΡΑΦΙΑ "ΑΓΡΙΟΠΑΠΙΑ"</t>
  </si>
  <si>
    <t>ΑΛΟΓΟ ΚΑΙ ΑΝΑΒΑΤΗΣ</t>
  </si>
  <si>
    <t>ΚΟΡΙΝΘΙΑΚΟΣ ΑΡΥΒΑΛΛΟΣ</t>
  </si>
  <si>
    <t>ΔΙΠΛΗ ΠΕΡΟΝΗ ΜΕ ΚΕΦΑΛΗ ΡΟΔΑΚΑ
 (ΑΣΗΜΙ ΚΑΙ ΕΠΙΧΡΥΣΩΜΕΝΟ ΑΣΗΜΙ)</t>
  </si>
  <si>
    <t>Κοσμήματα</t>
  </si>
  <si>
    <t>Καρφίτσα</t>
  </si>
  <si>
    <t>ΔΙΠΛΗ ΠΕΡΟΝΗ ΜΕ ΑΛΥΣΙΔΕΣ (ΑΣΗΜΙ)</t>
  </si>
  <si>
    <t>Περόνη</t>
  </si>
  <si>
    <t>ΔΙΠΛΗ ΠΕΡΟΝΗ (ΑΣΗΜΙ)</t>
  </si>
  <si>
    <t>ΔΑΚΤΥΛΙΔΙ ΜΙΚΡΟΓΡΑΦΙΑ ΑΣΗΜΕΝΙΟΥ ΠΡΟΪΣΤΟΡΙΚΟΥ ΒΡΑΧΙΟΛΙΟΥ (ΑΣΗΜΙ)</t>
  </si>
  <si>
    <t>Δαχτυλίδι</t>
  </si>
  <si>
    <t>ΖΩΝΗ (ΕΠΙΧΡΥΣΩΜΕΝΟ ΑΣΗΜΙ)</t>
  </si>
  <si>
    <t>Ζώνη</t>
  </si>
  <si>
    <t>ΣΥΜΠΛΕΓΜΑ ΦΟΡΑΔΑΣ - ΠΩΛΟΥ</t>
  </si>
  <si>
    <t>ΙΠΠΟΣ (ΟΡΕΙΧΑΛΚΟΣ)</t>
  </si>
  <si>
    <t>ΠΗΛΙΝΟ ΡΟΔΙ.</t>
  </si>
  <si>
    <t>ΑΡΓΥΡΗ ΔΡΑΧΜΗ ΘΑΣΟΥ.</t>
  </si>
  <si>
    <t>ΑΡΓΥΡΟΣ ΣΤΑΤΗΡΑΣ ΝΑΞΟΥ.</t>
  </si>
  <si>
    <t>ΑΡΓΥΡΟ ΤΕΤΡΑΔΡΑΧΜΟΝ ΡΟΔΟΥ.</t>
  </si>
  <si>
    <t>ΑΡΓΥΡΟΣ ΣΤΑΤΗΡΑΣ ΛΕΣΒΟΥ, ΑΝΤΙΓΡΑΦΟ ΣΕ ΑΣΗΜΙ</t>
  </si>
  <si>
    <t>ΑΡΓΥΡΟΣ ΣΤΑΤΗΡΑΣ ΚΟΡΙΝΘΟΥ.</t>
  </si>
  <si>
    <t>ΑΡΓΥΡΟ GROSSO RANIERI ZENO (ΔΟΓΗΣ ΒΕΝΕΤΙΑΣ).</t>
  </si>
  <si>
    <t>ΑΡΓΥΡΟΣ ΣΤΑΤΗΡΑΣ - ΚΟΙΝΟΝ ΒΟΙΩΤΩΝ</t>
  </si>
  <si>
    <t>ΑΡΓΥΡΟ ΤΡΙΩΒΟΛΟ - ΑΧΑΪΚΗ ΣΥΜΠΟΛΙΤΕΙΑ</t>
  </si>
  <si>
    <t>ΑΡΓΥΡΟ ΤΕΤΡΑΔΡΑΧΜΟ - ΑΙΤΩΛΙΚΗ ΣΥΜΠΟΛΙΤΕΙΑ</t>
  </si>
  <si>
    <t>ΑΡΓΥΡΟ ΗΜΙΣΤΑΤΗΡΟ - ΚΟΙΝΟΝ ΗΠΕΙΡΩΤΩΝ</t>
  </si>
  <si>
    <t>ΑΡΓΥΡΟΣ ΣΤΑΤΗΡΑΣ - ΚΟΙΝΟΝ ΘΕΣΣΑΛΩΝ</t>
  </si>
  <si>
    <t>ΠΕΡΙΑΠΤΟ (ΑΣΗΜΙ)</t>
  </si>
  <si>
    <t>Περίαπτο</t>
  </si>
  <si>
    <t>ΕΙΔΩΛΙΟΣΧΗΜΟ ΠΕΡΙΑΠΤΟ (ΑΣΗΜΙ)</t>
  </si>
  <si>
    <t>ΚΩΜΙΚΟ ΠΡΟΣΩΠΕΙΟ.</t>
  </si>
  <si>
    <t>ΤΡΑΓΙΚΟ ΠΡΟΣΩΠΕΙΟ.</t>
  </si>
  <si>
    <t>ΜΕΛΑΝΟΜΟΡΦΗ ΑΤΤΙΚΗ ΛΗΚΥΘΟΣ</t>
  </si>
  <si>
    <t>Αγγείο</t>
  </si>
  <si>
    <t>ΜΕΛΑΜΒΑΦΗΣ ΣΚΥΦΟΣ</t>
  </si>
  <si>
    <t>ΜΕΛΑΜΒΑΦΗΣ ΒΟΙΩΤΙΚΟΣ ΚΑΝΘΑΡΟΣ</t>
  </si>
  <si>
    <t>ΠΕΡΙΑΠΤΟ ΑΛΟΓΑΚΙ (ΟΡΕΙΧΑΛΚΟΣ)</t>
  </si>
  <si>
    <t>ΠΕΡΙΑΠΤΟ ΜΕ ΑΛΟΓΑΚΙ (ΟΡΕΙΧΑΛΚΟΣ)</t>
  </si>
  <si>
    <t>ΠΕΡΙΑΠΤΟ ΜΕ ΑΛΟΓΑΚΙ (ΑΣΗΜΙ)</t>
  </si>
  <si>
    <t>ΔΙΑΤΡΗΤΗ  ΧΑΝΔΡΑ ΑΠΟ ΠΕΡΙΑΠΤΟ (ΟΡΕΙΧΑΛΚΟΣ)</t>
  </si>
  <si>
    <t>ΤΡΕΙΣ ΔΙΑΤΡΗΤΕΣ ΧΑΝΤΡΕΣ(ΕΦΑΡΜΟΓΗ : ΟΡΕΙΧΑΛΚΟΣ- ΑΣΗΜΙ)</t>
  </si>
  <si>
    <t>ΤΟΙΧΟΓΡΑΦΙΑ ΤΗΣ  "ΑΝΟΙΞΗΣ" (ΛΕΠΤΟΜΕΡΕΙΑ).</t>
  </si>
  <si>
    <t>ΑΦΙΣΑ ΑΠΟ ΤΟΙΧΟΓΡΑΦΙΑ ΜΕ ΠΑΡΑΣΤΑΣΗ 
ΑΡΠΑΓΗΣ ΠΕΡΣΕΦΟΝΗΣ</t>
  </si>
  <si>
    <t>Εφαρμογές</t>
  </si>
  <si>
    <t>Είδη Χαρτιού</t>
  </si>
  <si>
    <t>Αφίσα</t>
  </si>
  <si>
    <t>ΑΦΙΣΑ ΑΠΟ ΔΙΑΚΟΣΜΟ ΧΡΥΣΕΛΕΦΑΝΤΙΝΗΣ 
ΚΛΙΝΗΣ ΔΙΟΝΥΣΟΣ, ΑΡΙΑΔΝΗ, ΠΑΝ.</t>
  </si>
  <si>
    <t>ΚΑΡΤΑ ΑΠΟ ΤΟΙΧΟΓΡΑΦΙΑ ΜΕ ΠΑΡΑΣΤΑΣΗ ΠΕΡΙΣΤΕΡΙΟΥ</t>
  </si>
  <si>
    <t>Κάρτες</t>
  </si>
  <si>
    <t>Κάρτα ΟΠΕΠ</t>
  </si>
  <si>
    <t>ΚΑΡΤΑ ΜΕ ΧΡΥΣΟ ΣΤΕΦΑΝΙ ΜΥΡΤΙΑΣ.</t>
  </si>
  <si>
    <t>ΚΑΡΤΑ ΜΕ ΛΕΠΤΟΜΕΡΕΙΑ ΤΟΙΧΟΓΡΑΦΙΑΣ.
 Ο ΝΕΚΡΟΣ ΩΣ ΠΟΛΕΜΙΣΤΗΣ.</t>
  </si>
  <si>
    <t>ΚΑΡΤΑ ΜΕ ΧΡΥΣΟ ΓΟΡΓΟΝΕΙΟ,ΔΙΑΚΟΣΜΟΣ ΛΙΝΟΘΩΡΑΚΑ.</t>
  </si>
  <si>
    <t>ΚΑΡΤΑ ΑΠΟ ΤΟΙΧΟΓΡΑΦΙΑ ΜΕ ΠΑΡΑΣΤΑΣΗ ΑΡΠΑΓΗΣ ΠΕΡΣΕΦΟΝΗΣ</t>
  </si>
  <si>
    <t>ΚΑΡΤΑ ΑΠΟ ΤΗΝ ΑΡΧΑΙΑ ΑΓΟΡΑ. ΣΤΟΑ ΑΤΤΑΛΟΥ</t>
  </si>
  <si>
    <t>ΚΑΡΤΑ ΜΕ ΚΟΥΡΟ</t>
  </si>
  <si>
    <t>ΚΑΡΤΑ ΜΕ ΚΟΡΕΣ</t>
  </si>
  <si>
    <t>ΚΑΡΤΑ ΜΕ ΠΡΟΣΘΙΟ ΤΜΗΜΑ  ΑΛΟΓΟΥ</t>
  </si>
  <si>
    <t>ΚΑΡΤΑ ΜΕ ΠΛΟΙΑΡΙΑ</t>
  </si>
  <si>
    <t>ΚΑΡΤΑ ΜΕ ΓΥΝΑΙΚΕΙΟ ΚΥΚΛΑΔΙΚΟ ΑΓΑΛΜΑ</t>
  </si>
  <si>
    <t>ΚΑΡΤΑ ΜΕ ΤΗΝ ΝΙΚΗ ΤΗΣ ΑΚΡΟΠΟΛΕΩΣ.</t>
  </si>
  <si>
    <t>ΚΑΡΤΑ ΜΕ ΤΜΗΜΑ ΑΠΟ ΤΗΝ ΖΩΟΦΟΡΟ 
ΤΟΥ ΠΑΡΘΕΝΩΝΑ. ΠΟΣΕΙΔΩΝ, ΑΠΟΛΛΩΝ, ΑΡΤΕΜΙΣ</t>
  </si>
  <si>
    <t>ΚΑΡΤΑ ΜΕ ΤΜΗΜΑ ΑΠΟ ΤΗΝ ΖΩΟΦΟΡΟ
 ΤΟΥ ΠΑΡΘΕΝΩΝΑ. ΥΔΡΙΟΦΟΡΟΙ</t>
  </si>
  <si>
    <t>ΚΑΡΤΑ ΚΥΚΛΑΔΙΚΟ ΜΑΡΜΑΡΙΝΟ ΒΙΟΛΟΣΧΗΜΟ ΕΙΔΩΛΙΟ. ΣΥΝΘΕΣΗ</t>
  </si>
  <si>
    <t>ΚΑΡΤΑ ΚΕΦΑΛΙ ΑΠΟ ΑΓΑΛΜΑ ΚΟΡΗΣ ΤΗΣ ΦΡΑΣΙΚΛΕΙΑΣ</t>
  </si>
  <si>
    <t>ΚΑΡΤΑ ΧΑΛΚΙΝΟ ΑΓΑΛΜΑ ΗΝΙΟΧΟΥ. 
ΣΥΝΘΕΣΗ ΜΕ ΑΛΟΓΑ ΤΕΘΡΙΠΠΟΥ</t>
  </si>
  <si>
    <t>ΚΑΡΤΑ Ο ΜΑΡΜΑΡΙΝΟΣ ΟΜΦΑΛΟΣ 
(ΚΕΝΤΡΟ ΤΟΥ ΚΟΣΜΟΥ) ΛΕΠΤΟΜΕΡΕΙΑ</t>
  </si>
  <si>
    <t>ΚΑΡΤΑ ΓΙΓΑΝΤΟΜΑΧΙΑ (ΛΕΠΤΟΜΕΡΕΙΑ). 
ΒΟΡΕΙΑ ΖΩΦΟΡΟΣ ΤΟΥ ΘΗΣΑΥΡΟΥ ΤΩΝ ΣΙΦΝΙΩΝ</t>
  </si>
  <si>
    <t>ΚΑΡΤΑ ΓΙΓΑΝΤΟΜΑΧΙΑ (ΛΕΠΤΟΜΕΡΕΙΑ) 
ΒΟΡΕΙΑ ΖΩΦΟΡΟΣ ΤΩΝ ΣΙΦΝΙΩΝ</t>
  </si>
  <si>
    <t>ΚΑΡΤΑ Ο ΚΟΡΜΟΣ ΤΟΥ ΔΙΑ.ΑΝΑΤΟΛΙΚΟ ΑΕΤΩΜΑ ΤΟΥ ΝΑΟΥ ΤΟΥ ΔΙΑ</t>
  </si>
  <si>
    <t>ΚΑΡΤΑ ΛΑΠΙΘΙΔΑ. ΔΥΤΙΚΟ ΑΕΤΩΜΑ ΤΟΥ ΝΑΟΥ</t>
  </si>
  <si>
    <t>ΚΑΡΤΑ ΑΡΧΑΙΑ ΟΛΥΜΠΙΑ. Η ΠΑΛΑΙΣΤΡΑ</t>
  </si>
  <si>
    <t>ΚΑΡΤΑ ΑΤΛΑΣ (ΛΕΠΤΟΜΕΡΕΙΑ) ΑΝΑΤΟΛΙΚΗ ΜΕΤΟΠΗ ΑΠΟ ΤΟ ΝΑΟ ΤΟΥ ΔΙΑ</t>
  </si>
  <si>
    <t>ΚΑΡΤΑ ΓΥΝΑΙΚΕΙΟ ΜΥΚΗΝΑΪΚΟ ΕΙΔΩΛΙΟ</t>
  </si>
  <si>
    <t>ΚΑΡΤΑ ΗΡΑΚΛΗΣ, ΑΤΛΑΣ, ΑΘΗΝΑ ΚΑΙ ΤΑ ΜΗΛΑ ΤΩΝ ΕΣΠΕΡΙΔΩΝ</t>
  </si>
  <si>
    <t>ΚΑΡΤΑ ΚΡΑΝΗ. ΣΥΝΘΕΣΗ</t>
  </si>
  <si>
    <t>ΚΑΡΤΑ ΧΡΥΣΟ ΠΕΡΙΑΠΤΟ</t>
  </si>
  <si>
    <t>ΚΑΡΤΑ ΜΙΝΩΙΚΗ ΠΡΟΧΟΥΣ ΚΑΜΑΡΑΪΚΟΥ ΡΥΘΜΟΥ</t>
  </si>
  <si>
    <t>ΚΑΡΤΑ "Ο ΔΙΣΚΟΣ ΤΗΣ ΦΑΙΣΤΟΥ". (ΛΕΠΤΟΜΕΡΕΙΑ)</t>
  </si>
  <si>
    <t>ΚΑΡΤΑ ΜΙΝΩΪΚΟΣ ΚΡΑΤΗΡΑΣ ΚΑΜΑΡΑΪΚΟΥ ΡΥΘΜΟΥ</t>
  </si>
  <si>
    <t>ΚΑΡΤΑ "Ο ΠΡΙΓΚΗΠΑΣ ΜΕ ΤΑ ΚΡΙΝΑ". 
ΤΟΙΧΟΓΡΑΦΙΑ ΑΠΟ ΤΗΝ ΚΝΩΣΟ</t>
  </si>
  <si>
    <t>ΚΑΡΤΑ ΕΙΔΩΛΙΟ ΘΕΑΣ ΜΕ ΥΨΩΜΕΝΑ ΤΑ ΧΕΡΙΑ. ΣΥΝΘΕΣΗ</t>
  </si>
  <si>
    <t>ΚΑΡΤΑ ΜΙΝΩΪΚΟΙ ΔΙΠΛΟΙ ΧΡΥΣΟΙ ΠΕΛΕΚΕΙΣ.ΣΥΝΘΕΣΗ</t>
  </si>
  <si>
    <t>ΚΑΡΤΑ ΜΙΝΩΙΚΟ ΚΑΛΑΘΟΣΧΗΜΟ ΑΓΓΕΙΟ.ΣΥΝΘΕΣΗ</t>
  </si>
  <si>
    <t>ΚΑΡΤΑ ΖΩΟΜΟΡΦΑ ΜΥΚΗΝΑΪΚΑ ΕΙΔΩΛΙΑ</t>
  </si>
  <si>
    <t>ΚΑΡΤΑ ΧΡΥΣΗ ΠΡΟΣΩΠΙΔΑ ΤΟΥ "ΑΓΑΜΕΜΝΟΝΑ" ΣΥΝΘΕΣΗ</t>
  </si>
  <si>
    <t>ΚΑΡΤΑ ΑΣΗΜΕΝΙΟ ΡΥΤΟ ΤΑΥΡΟΚΕΦΑΛΗΣ ΣΥΝΘΕΣΗ</t>
  </si>
  <si>
    <t>ΚΑΡΤΑ ΜΥΚΗΝΑΪΚΟ ΕΙΔΩΛΙΟ ΤΑΥΡΟΥ. ΣΥΝΘΕΣΗ</t>
  </si>
  <si>
    <t>ΚΑΡΤΑ ΓΥΝΑΙΚΕΙΑ ΜΥΚΗΝΑΪΚΑ ΕΙΔΩΛΙΑ .ΣΥΝΘΕΣΗ</t>
  </si>
  <si>
    <t>ΗΡΙΔΑΝΟΣ</t>
  </si>
  <si>
    <t>Εκδόσεις</t>
  </si>
  <si>
    <t>Οδηγοί Μουσείων / Αρχαιολογικών Χώρων</t>
  </si>
  <si>
    <t>Ελληνικό</t>
  </si>
  <si>
    <t>Αγγλικό</t>
  </si>
  <si>
    <t>ΤΑ ΕΡΓΑ ΣΤΗΝ ΑΘΗΝΑΙΚΗ ΑΚΡΟΠΟΛΗ</t>
  </si>
  <si>
    <t>ΙΣΤΟΡΙΚΟΣ ΧΑΡΤΗΣ ΤΗΣ ΑΘΗΝΑΣ</t>
  </si>
  <si>
    <t>Χάρτες</t>
  </si>
  <si>
    <t>Γερμανικό</t>
  </si>
  <si>
    <t>ΤΟ ΕΘΝΙΚΟ ΑΡΧΑΙΟΛΟΓΙΚΟ ΜΟΥΣΕΙΟ</t>
  </si>
  <si>
    <t>ΟΙ ΟΛΥΜΠΙΑΚΟΙ ΑΓΩΝΕΣ ΣΤΗΝ ΑΡΧΑΙΑ ΕΛΛΑΔΑ</t>
  </si>
  <si>
    <t>Ολυμπιακοί Αγώνες</t>
  </si>
  <si>
    <t>MOUSEPAD ΣΥΝΘΕΣΗ ΣΥΜΒΟΛΩΝ ΑΠΟ ΤΟΝ "ΔΙΣΚΟ ΤΗΣ ΦΑΙΣΤΟΥ"</t>
  </si>
  <si>
    <t>Είδη Γραφείου &amp; Διάφορα</t>
  </si>
  <si>
    <t>Mousepad</t>
  </si>
  <si>
    <t>ΕΠΙΣΤΟΛΟΧΑΡΤΑ Η ΑΝΟΙΞΗ</t>
  </si>
  <si>
    <t>Σετ Αλληλογραφίας</t>
  </si>
  <si>
    <t>ΕΠΙΣΤΟΛΟΧΑΡΤΑ ΓΑΛΑΖΙΟ ΠΟΥΛΙ</t>
  </si>
  <si>
    <t>ΕΠΙΣΤΟΛΟΧΑΡΤΑ ΘΑΛΑΣΣΙΟ ΤΟΠΙΟ ΜΕ ΨΑΡΙΑ</t>
  </si>
  <si>
    <t>ΑΦΙΣΑ "ΣΚΗΝΕΣ ΚΥΝΗΓΙΟΥ"</t>
  </si>
  <si>
    <t>ΑΦΙΣΑ "ΝΗΟΠΟΜΠΗ"</t>
  </si>
  <si>
    <t>ΑΦΙΣΑ "Ο ΠΡΙΓΚΗΠΑΣ ΜΕ ΤΑ ΚΡΙΝΑ"</t>
  </si>
  <si>
    <t>Μεταξωτυπία "Πυγμάχοι"</t>
  </si>
  <si>
    <t>Μεταξοτυπία</t>
  </si>
  <si>
    <t>Μεταξωτυπία "Περιστέρι"</t>
  </si>
  <si>
    <t>Μεταξωτυπία "Λουλούδια"</t>
  </si>
  <si>
    <t>ΠΡΕΣ ΠΑΠΙΕ ΟΠΤΙΚΟ ΚΡΥΣΤΑΛΛΟ "ΠΟΣΕΙΔΩΝΑΣ"</t>
  </si>
  <si>
    <t>Πρες Παπιέ</t>
  </si>
  <si>
    <t>ΠΡΕΣ ΠΑΠΙΕ ΟΠΤΙΚΟ ΚΡΥΣΤΑΛΛΟ "ΠΛΟΙΟ"</t>
  </si>
  <si>
    <t>ΟΣΤΡΑΚΟ ΑΝΟΙΞΗ</t>
  </si>
  <si>
    <t>Κεραμικές Εφαρμογές</t>
  </si>
  <si>
    <t>ΟΣΤΡΑΚΟ ΧΕΛΙΔΟΝΟΨΑΡΑ</t>
  </si>
  <si>
    <t>ΟΣΤΡΑΚΟ ΚΡΟΚΟΣΥΛΛΕΚΤΡΙΕΣ</t>
  </si>
  <si>
    <t>ΜΑΓΝΗΤΗΣ ΧΑΡΤΙΝΟΣ "ΔΙΣΚΟΣ ΦΑΙΣΤΟΥ" ΠΗΛΙΝΟΣ</t>
  </si>
  <si>
    <t>Παιχνίδια</t>
  </si>
  <si>
    <t>Μαγνήτης</t>
  </si>
  <si>
    <t>ΜΑΓΝΗΤΗΣ ΧΑΡΤΙΝΟΣ ΔΙΣΚΟΣ ΚΟΚΚΙΝΟΣ</t>
  </si>
  <si>
    <t>ΜΑΓΝΗΤΗΣ ΧΑΡΤΙΝΟΣ ΔΕΛΦΙΝΙΑ</t>
  </si>
  <si>
    <t>ΤΣΑΝΤΑ ΔΙΑΦΑΝΗΣ ΠΑΡΘΕΝΩΝΑΣ</t>
  </si>
  <si>
    <t>Αξεσουάρ</t>
  </si>
  <si>
    <t>Τσάντα</t>
  </si>
  <si>
    <t>ΜΟΛΥΒΙ ΑΚΡΟΠΟΛΗ ΡΟΖ</t>
  </si>
  <si>
    <t>Μολύβια</t>
  </si>
  <si>
    <t>ΜΟΛΥΒΙ ΑΚΡ ΠΟΡΤΟΚΑΛΙ</t>
  </si>
  <si>
    <t>ΜΟΛΥΒΙ ΑΚΡΟΠΟΛΗ ΜΠΛΕ</t>
  </si>
  <si>
    <t>ΠΡΕΣ ΠΑΠΙΕ ΟΠΤΙΚΟ ΚΡΥΣΤΑΛΛΟ ΑΛΕΞΑΝΔΡΟΣ ΜΕ  ΒΑΣΗ</t>
  </si>
  <si>
    <t>ΑΛΜΠΟΥΜ ΚΑΡΤ ΕΠΙΔ ΜΥΚΗΝΕΣ</t>
  </si>
  <si>
    <t>Άλμπουμ Καρτών</t>
  </si>
  <si>
    <t>ΑΛΜΠΟΥΜ ΑΦΙΣΩΝ ΧΩΡΟΙ</t>
  </si>
  <si>
    <t>Άλμπουμ Αφισών</t>
  </si>
  <si>
    <t>ΚΑΡΤΑ ΤΟΙΧΟΓΡΑΦΙΑ ΜΕ ΑΣΠΙΔΕΣ ΜΥΚΗΝΩΝ</t>
  </si>
  <si>
    <t>ΚΑΡΤΑ ΑΤΤΙΚΗ ΛΗΚΥΘΟΣ</t>
  </si>
  <si>
    <t>ΚΑΡΤΑ ΣΤΗΛΗ ΑΡΙΣΤΙΩΝΑ</t>
  </si>
  <si>
    <t>ΚΑΡΤΑ ΚΕΦΑΛΗ ΣΦΙΓΓΑΣ</t>
  </si>
  <si>
    <t>ΚΑΡΤΑ ΝΑΟΣ ΑΘΗΝΑΣ</t>
  </si>
  <si>
    <t>ΚΑΡΤΑ ΚΑΡΥΑΤΙΔΕΣ</t>
  </si>
  <si>
    <t>ΚΑΡΤΑ ΜΟΣΧΟΦΟΡΟΣ</t>
  </si>
  <si>
    <t>ΚΑΡΤΑ ΠΡΟΠΥΛΑΙΑ</t>
  </si>
  <si>
    <t>ΚΑΡΤΑ ΕΦΗΒΟΣ ΚΡΙΤΙΟΥ</t>
  </si>
  <si>
    <t>ΚΑΡΤΑ ΠΑΡΘΕΝΩΝΑΣ</t>
  </si>
  <si>
    <t>ΠΕΡΙΑΠΤΟ ΑΝΑΚ.ΑΛΟΥΜΙΝΙΟ ΚΥΚΛΑΔΙΚΟ ΚΕΦΑΛΙ</t>
  </si>
  <si>
    <t>Αλουμίνιο</t>
  </si>
  <si>
    <t>ΠΟΡΤ ΚΛΕ ΑΝΑΚ.ΑΛΟΥΜΙΝΙΟ ΧΕΛΙΔΟΝΙ</t>
  </si>
  <si>
    <t>Πορτ Κλε</t>
  </si>
  <si>
    <t>ΠΟΡΤ ΚΛΕ ΑΝΑΚ.ΑΛΟΥΜΙΝΙΟ ΠΑΠΙΑ</t>
  </si>
  <si>
    <t>ΠΟΡΤ ΚΛΕ ΑΝΑΚ.ΑΛΟΥΜΙΝΙΟ ΑΛΟΓΟ</t>
  </si>
  <si>
    <t>ΠΑΣΠΑΡΤΟΥ ΑΦΙΣΑ ΤΖΟΚΕΥ</t>
  </si>
  <si>
    <t>Αφίσα με Πασπαρτού</t>
  </si>
  <si>
    <t>ΠΑΣΠΑΡΤΟΥ ΠΑΡΘΕΝΩΝΑΣ</t>
  </si>
  <si>
    <t>MOUSEPAD ΣΥΝΘΕΣΗ KATAΣΤΗΜΑΤΩΝ</t>
  </si>
  <si>
    <t>ΜΑΓΝΗΤΗΣ ΠΡΙΓΚΗΠΑΣ ΜΕ ΚΡΙΝΑ</t>
  </si>
  <si>
    <t>ΜΑΓΝΗΤΗΣ ΜΥΚΗΝΑΙΑ</t>
  </si>
  <si>
    <t>ΑΦΙΣΑ TZOKEΥ ΑΡΤΕΜΙΣΙΟΥ</t>
  </si>
  <si>
    <t>ΑΦΙΣΑ ΠΡΙΓΚΗΠΑΣ</t>
  </si>
  <si>
    <t>ΑΦΙΣΑ ΠΑΡΙΖΙΑΝΑ</t>
  </si>
  <si>
    <t>ΑΦΙΣΑ ΗΝΙΟΧΟΣ</t>
  </si>
  <si>
    <t>ΑΦΙΣΑ ΠΑΣΠΑΡ ΠΑΡΘΕΝΩΝΑΣ</t>
  </si>
  <si>
    <t>ΑΦΙΣΑ ΠΑΣΠΑΡ ΚΑΡΥΑΤΙΔΕΣ</t>
  </si>
  <si>
    <t>AΦΙΣΑ FABIANO ΠΛΟΥΤΩΝ ΠΕΡΣΕΦΟΝΗ</t>
  </si>
  <si>
    <t>Αφίσα Fabiano</t>
  </si>
  <si>
    <t>ΕΛΛΑΔΑ</t>
  </si>
  <si>
    <t>Τουριστικός Οδηγός</t>
  </si>
  <si>
    <t>Γαλλικό</t>
  </si>
  <si>
    <t>Ισπανικό</t>
  </si>
  <si>
    <t>Ουγγρικό</t>
  </si>
  <si>
    <t>Ρώσικο</t>
  </si>
  <si>
    <t>Ολλανδικό</t>
  </si>
  <si>
    <t>ΕΠΙΦΑΝΕΙΣ ΑΡΧΑΙΟΙ ΑΝΔΡΕΣ</t>
  </si>
  <si>
    <t>Ευρύτερου Ενδιαφέροντος</t>
  </si>
  <si>
    <t>ΕΛΛΗΝΙΚΗ ΜΑΓΕΙΡΙΚΗ</t>
  </si>
  <si>
    <t>Ιταλικό</t>
  </si>
  <si>
    <t>Πολωνέζικο</t>
  </si>
  <si>
    <t>Σουηδικό</t>
  </si>
  <si>
    <t>ΑΙΓΑΙΟ 365</t>
  </si>
  <si>
    <t>Λεύκωμα</t>
  </si>
  <si>
    <t>Δίγλωσσο (ελληνοαγγλικό)</t>
  </si>
  <si>
    <t>ΑΝΑΓΛ ΚΑΡΤΑ ΠΟΣΕΙΔΩΝΑΣ</t>
  </si>
  <si>
    <t>Ανάγλυφη Κάρτα</t>
  </si>
  <si>
    <t>ΑΝΑΓΛ ΚΑΡΤΑ ΖΩΦΟΡΟΣ</t>
  </si>
  <si>
    <t>ΑΓΓΕΙΟ ΚΥΛΙΚΑΣ</t>
  </si>
  <si>
    <t>ΑΓΓΕΙΟ ΣΚΥΦΟΣ</t>
  </si>
  <si>
    <t>ΑΓΓΕΙΟ ΑΡΥΒΑΛΛΟΣ</t>
  </si>
  <si>
    <t>ΑΓΓΕΙΟ ΑΜΦΟΡΕΑΣ</t>
  </si>
  <si>
    <t>ΑΓΓΕΙΟ ΟΞΥΠΥΘΜΕΝΟΣ ΑΜΦΟΡΕΑΣ</t>
  </si>
  <si>
    <t>ΑΓΓΕΙΟ ΠΥΞΙΔΑ</t>
  </si>
  <si>
    <t>ΟΣΤΡΑΚΟ ΚΟΥΚΟΥΒΑΓΙΑ</t>
  </si>
  <si>
    <t>ΟΣΤΡΑΚΟ ΤΡΙΗΡΗΣ</t>
  </si>
  <si>
    <t>Παρθενώνας Μαύρο Ασπρο</t>
  </si>
  <si>
    <t>Σουπλά &amp; Σουβερ σετ</t>
  </si>
  <si>
    <t>Θέατρο Επιδαύρου</t>
  </si>
  <si>
    <t>Αστέρι Βεργίνας</t>
  </si>
  <si>
    <t>Ίππος</t>
  </si>
  <si>
    <t>Λύρα</t>
  </si>
  <si>
    <t>Ταύρος Μαύρο Κόκκινο</t>
  </si>
  <si>
    <t>Ταύρος Μπλε</t>
  </si>
  <si>
    <t>Τριήρης</t>
  </si>
  <si>
    <t>Έρωτας Με Φτερά</t>
  </si>
  <si>
    <t>Καρυάτιδες</t>
  </si>
  <si>
    <t>Κεφαλές Καρυάτιδες;</t>
  </si>
  <si>
    <t>ΜίαΚεφαλή Καρυάτιδας</t>
  </si>
  <si>
    <t>Χρυσό Κύπελο</t>
  </si>
  <si>
    <t>ΑΡΧΑΙΟΙ ΤΟΠΟΙ</t>
  </si>
  <si>
    <t>Ελληνοαγγλικό</t>
  </si>
  <si>
    <t>ΔΙΑΦΑΝΗΣ ΕΛΑΣΤΙΚΟΣ ΠΛΑΣΤΙΚΟΣ ΧΑΡΑΚΑΣ ΜΕ ΕΚΤΥΠΩΣΗ (30 ΕΚ)</t>
  </si>
  <si>
    <t>Χάρακας</t>
  </si>
  <si>
    <t>ΑΝΑΓΛΥΦΗ ΚΑΡΤΑ ΕΦΗΒΟΣ ΜΑΡΑΘΩΝΑ</t>
  </si>
  <si>
    <t>ΑΝΑΓΛΥΦΗ ΚΑΡΤΑ ΔΙΣΚΟΣ ΦΑΙΣΤΟΥ</t>
  </si>
  <si>
    <t>ΑΝΑΓΛΥΦΗ ΚΑΡΤΑ ΔΕΚΑΕΞΑΚΤΙΝΟ ΑΣΤΕΡΙ</t>
  </si>
  <si>
    <t>ΑΝΑΓΛΥΦΗ ΚΑΡΤΑ ΝΟΜΙΣΜΑ ΜΕ ΑΛΕΞΑΝΔΡΟ</t>
  </si>
  <si>
    <t>ΑΝΑΓΛΥΦΗ ΚΑΡΤΑ ΧΡΥΣΟ ΓΟΡΓΟΝΕΙΟ</t>
  </si>
  <si>
    <t>ΑΝΑΓΛΥΦΗ ΚΑΡΤΑ ΚΟΡΗ</t>
  </si>
  <si>
    <t>ΑΝΑΓΛΥΦΗ ΚΑΡΤΑ ΠΑΡΘΕΝΩΝΑΣ</t>
  </si>
  <si>
    <t>Η ΔΗΜΙΟΥΡΓΙΚΗ ΟΡΑΣΗ</t>
  </si>
  <si>
    <t>Αρχαιολογικός Οδηγός</t>
  </si>
  <si>
    <t>ΠΡΟΣΩΠΑ ΤΗΣ ΑΚΡΟΠΟΛΗΣ</t>
  </si>
  <si>
    <t>ΕΓΡΑΨΑΝ ΓΙΑ ΤΗΝ ΑΚΡΟΠΟΛΗ 1850-1950</t>
  </si>
  <si>
    <t>ΑΡΧΑΙΑ ΑΓΟΡΑ ΤΗΣ ΑΘΗΝΑΣ - ΑΡΕΙΟΣ ΠΑΓΟΣ</t>
  </si>
  <si>
    <t>ΜΟΥΣΕΙΟ ΑΡΧΑΙΑΣ ΑΓΟΡΑΣ</t>
  </si>
  <si>
    <t>ΡΩΜΑΙΚΗ ΑΓΟΡΑ - ΒΙΒΛΙΟΘΗΚΗ ΑΝΔΡΙΑΝΟΥ</t>
  </si>
  <si>
    <t>ΒΟΡΕΙΑ ΑΝΑΤΟΛΙΚΗ ΚΑΙ ΔΥΤΙΚΗ ΚΛΙΤΥΣ ΑΚΡΟΠΟΛΕΩΣ</t>
  </si>
  <si>
    <t>ΛΟΦΟΙ ΦΙΛΟΠΑΠΟΥ -ΠΝΥΚΑΣ ΝΥΜΦΩΝ</t>
  </si>
  <si>
    <t>ΑΡΧΑΙΩΝ ΔΕΙΠΝΟ</t>
  </si>
  <si>
    <t>ΑΚΟΛΟΥΘΩΝΤΑΣ ΤΑ ΒΗΜΑΤΑ ΤΟΥ ΜΕΓΑ ΑΛΕΞΑΝΔΡΟΥ</t>
  </si>
  <si>
    <t>ΑΘΗΝΑ</t>
  </si>
  <si>
    <t xml:space="preserve">ΚΑΡΥΑΤΙΔΑ ΓΡΑΜΜΙΚΟ 15 Χ15Χ2 Α ΟΨΗ </t>
  </si>
  <si>
    <t>Plexiglass</t>
  </si>
  <si>
    <t xml:space="preserve">ΚΑΡΥΑΤΙΔΕΣ 12 ΠΡΟΣΩΠΑ 13ΕΚ.X18ΕΚ. X2ΕΚ ΑΒ ΟΨΗ </t>
  </si>
  <si>
    <t xml:space="preserve">ΠΑΡΘΕΝΩΝΑΣ ΜΠΛΕ ΚΙΤΡΙΝΟ 13ΕΚ.X13ΕΚ.X2ΕΚ. Α ΟΨΗ </t>
  </si>
  <si>
    <t xml:space="preserve">ΚΝΩΣΟΣ ΡΥΤΟ ΤΑΥΡΟΥ ΜΑΥΡΟ ΚΟΚ ΚΙΤΡ 
11Χ16 ΑΒ ΟΨΗ </t>
  </si>
  <si>
    <t xml:space="preserve">ΚΝΩΣΟΣ ΡΥΤΟ ΤΑΥΡΟΥ  ΜΑΥΡΟ ΜΠΛΕ ΠΟΡΤ.  11ΕΚ.X16ΕΚ.X2ΕΚ Α ΟΨΗ </t>
  </si>
  <si>
    <t>ΙΠΠΟΣ   11Χ16 Α ΟΨΗ .</t>
  </si>
  <si>
    <t>ΚΝΩΣΟΣ ΤΑΥΡΟΣ 11Χ16 Α ΟΨΗ</t>
  </si>
  <si>
    <t>ΒΑΣΗ  ΜΟΝΗ</t>
  </si>
  <si>
    <t xml:space="preserve">ΚΑΡΥΑΤΙΔΕΣ  6 ΧΡΩΜΑΤΑ  8Χ23  6 ΤΕΜΑΧΙΑ </t>
  </si>
  <si>
    <t>Καμβάς</t>
  </si>
  <si>
    <t>ΠΑΡΘΕΝΩΝΑΣ  24 Χ24  3 ΤΕΜΑΧΙΑ</t>
  </si>
  <si>
    <t xml:space="preserve">ΠΑΡΘΕΝΩΝΑΣ ΜΑΥΡΟ ΑΣΠΡΟ 13Χ13 ΑΒ ΟΨΗ </t>
  </si>
  <si>
    <t>ΣΟΥΒΕΡ ΠΑΖΛ ΣΤΕΦΑΝΙ ΜΥΡΤΙΑΣ</t>
  </si>
  <si>
    <t>Σουβέρ</t>
  </si>
  <si>
    <t>ΣΟΥΒΕΡ ΠΑΖΛ ΑΡΧΑΙΟΣ ΙΠΠΟΣ</t>
  </si>
  <si>
    <t>ΣΟΥΒΕΡ ΠΑΖΛ ΠΑΡΘΕΝΩΝΑΣ</t>
  </si>
  <si>
    <t>ΒΟΥΤΗΧΤΕΣ ΧΡΥΣΟ</t>
  </si>
  <si>
    <t xml:space="preserve">Γλυπτό </t>
  </si>
  <si>
    <t>ΟΣΤΡΑΚΟ ΛΙΟΝΤΑΡΙΑ ΔΗΛΟΥ</t>
  </si>
  <si>
    <t>ΟΣΤΡΑΚΟ ΑΠΟΛΛΩΝ ΔΗΛΟΥ</t>
  </si>
  <si>
    <t>ΤΑΥΡΟΣ ΜΕ ΧΡΥΣΑ ΚΕΡΑΤΑ</t>
  </si>
  <si>
    <t>ΑΓΓΕΛΟΣ ΜΙΚΡΟΣ ΑΣΗΜΙ</t>
  </si>
  <si>
    <t xml:space="preserve">ΓΟΥΡΙ 2010 ΚΛΑΔΙ ΕΛΙΑΣ </t>
  </si>
  <si>
    <t>Γούρι</t>
  </si>
  <si>
    <t>SMART ART IN GREECE</t>
  </si>
  <si>
    <t>ΠΕΡΙΑΠΤΟ ΔΗΛΟΣ 9090/0110/10</t>
  </si>
  <si>
    <t>Ασήμι</t>
  </si>
  <si>
    <t>ΕΘΝΙΚΟ ΑΡΧΑΙΟΛΟΓΙΚΟ ΜΟΥΣΕΙΟ</t>
  </si>
  <si>
    <t>ΕΛΛΗΝΙΚΑ ΑΓΡΙΟΛΟΥΛΟΥΔΑ</t>
  </si>
  <si>
    <t>Αγγλικά</t>
  </si>
  <si>
    <t xml:space="preserve">ΣΥΝΟΛΟ ΕΜΠΟΡΕΥΜΑΤΩΝ ΓΙΑ ΠΩΛΗΤΗΡΙΑ </t>
  </si>
  <si>
    <t>ΓΕΝΙΚΗ ΑΞΙΑ ΕΜΠΟΡΕΥΜΑΤΩΝ</t>
  </si>
  <si>
    <t>ΠΡΟΪΟΝΤΑ ΑΝΑ ΚΩΔΙΚΟ ΕΙΔΟΥΣ ΜΕ ΛΟΓΟΤΥΠΟ  ΤΟΥ ΝΕΟΥ  ΜΟΥΣΕΙΟΥ ΑΚΡΟΠΟΛΗΣ</t>
  </si>
  <si>
    <t>ΝΜΑ ΤΣΑΝΤΑ ΘΑΛΑΣΣΗΣ ΑΓΑΛΜΑΤΑ</t>
  </si>
  <si>
    <t>ΕΦΑΡΜΟΓΕΣ</t>
  </si>
  <si>
    <t>ΑΞΕΣΟΥΑΡ</t>
  </si>
  <si>
    <t>ΤΣΑΝΤΑ</t>
  </si>
  <si>
    <t>ΝΜΑ ΤΣΑΝΤΑ ΘΑΛΑΣΣΗΣ ΦΙΔΙΑ</t>
  </si>
  <si>
    <t>ΝΜΑ ΤΣΑΝΤΑ ΘΑΛΑΣΣΗΣ ΣΚΟΥΛΑΡΙΚΙ</t>
  </si>
  <si>
    <t>ΝΜΑ ΣΕΛΙΔΟΔΕΙΚΤΕΣ MΕ ΕΚΘΕΜΑΤΑ</t>
  </si>
  <si>
    <t>ΕΙΔΗ ΧΑΡΤΙΟΥ</t>
  </si>
  <si>
    <t>ΣΕΛΙΔΟΔΕΙΚΤΕΣ</t>
  </si>
  <si>
    <t>ΝΜΑ ΤΣΑΝΤΑΚΙ ΓΙΑ ΜΑΓΙΟ ΑΓΑΛΜΑΤΑ</t>
  </si>
  <si>
    <t>ΝΜΑ ΤΣΑΝΤΑΚΙ ΓΙΑ ΜΑΓΙΟ ΦΙΔΙΑ</t>
  </si>
  <si>
    <t>ΝΜΑ ΤΣΑΝΤΑΚΙ ΓΙΑ ΜΑΓΙΟ ΣΚΟΥΛΑΡΙΚΙ</t>
  </si>
  <si>
    <t>ΝΜΑ ΤΣΑΝΤΑΚΙ ΜΙΚΡΟ</t>
  </si>
  <si>
    <t>ΝΜΑ MOUSEPADS ΠΑΙΔΙΚΑ ΦΙΔΙ ΝΟ5</t>
  </si>
  <si>
    <t>ΕΙΔΗ ΓΡΑΦΕΙΟΥ</t>
  </si>
  <si>
    <t>ΜΟUSEPAD</t>
  </si>
  <si>
    <t>ΝΜΑ ΣΗΜΕΙΩΜΑΤΑΡΙΟ 21x15 ΚΑΤΟΨΗ</t>
  </si>
  <si>
    <t>ΣΗΜΕΙΩΜΑΤΑΡΙΟ ΜΕΓΑΛΟ</t>
  </si>
  <si>
    <t>ΝΜΑ ΣΗΜΕΙΩΜΑΤΑΡΙΟ 21x15 ΑΛΟΓΟ</t>
  </si>
  <si>
    <t>ΝΜΑ ΣΗΜΕΙΩΜΑΤΑΡΙΟ 21x15  ΧΕΡΙ ΚΟΡΗΣ</t>
  </si>
  <si>
    <t>ΝΜΑ ΣΗΜΕΙΩΜΑΤΑΡΙΟ 21x15 ΑΚΡΟΚΕΡΑΜΟ</t>
  </si>
  <si>
    <t>ΝΜΑ ΦΑΚΕΛΟΣ Α4 ΑΛΟΓΟ</t>
  </si>
  <si>
    <t>ΦΑΚΕΛΟΣ</t>
  </si>
  <si>
    <t>ΝΜΑ ΦΑΚΕΛΟΣ Α4 ΚΟΤΑ</t>
  </si>
  <si>
    <t>ΝΜΑ ΦΑΚΕΛΟΣ Α4 ΚΑΤΟΨΗ</t>
  </si>
  <si>
    <t>ΝΜΑ ΦΑΚΕΛΟΣ Α4 ΚΑΡΥΑΤΙΔΕΣ</t>
  </si>
  <si>
    <t>ΝΜΑ ΦΑΚΕΛΟΣ Α4 ΠΑΙΔΙΚΟ</t>
  </si>
  <si>
    <t>ΝΜΑ PAREO ΑΓΑΛΜΑΤΑ</t>
  </si>
  <si>
    <t>ΠΑΡΕΟ</t>
  </si>
  <si>
    <t>ΝΜΑ ΧΑΡΑΚΑΣ ΠΑΙΔΙΚΟΣ</t>
  </si>
  <si>
    <t>ΧΑΡΑΚΑΣ</t>
  </si>
  <si>
    <t>ΝΜΑ ΠΑΙΔΙΚΟ ΜΠΛΟΚ ΖΩΓΡΑΦΙΚΗΣ</t>
  </si>
  <si>
    <t>ΠΑΙΧΝΙΔΙΑ</t>
  </si>
  <si>
    <t>ΣΗΜΕΙΩΜΑΤΑΡΙΟ</t>
  </si>
  <si>
    <t>ΝΜΑ ΑΣΗΜΕΝΙΟΣ ΔΙΣΚΟΣ</t>
  </si>
  <si>
    <t>ΔΙΣΚΟΣ</t>
  </si>
  <si>
    <t>ΝΜΑ ΚΟΝΤΟΜΑΝΙΚΟ ACROPOLIS KIDS ΚΟΚΚΙΝΟ-ΜΑΥΡΟ</t>
  </si>
  <si>
    <t>ΚΟΝΤΟΜΑΝΙΚΟ</t>
  </si>
  <si>
    <t>ΝΜΑ ΚΟΝΤΟΜΑΝΙΚΟ ΖΩΑ ΠΙΣΩ ΜΠΡΟΣΤΑ ΛΕΥΚΟ ΝΟ12</t>
  </si>
  <si>
    <t>ΝΜΑ ΦΩΤΟΦΟΡΟΣ ΓΡΑΜΜΑΤΑ</t>
  </si>
  <si>
    <t>ΦΩΤΟΦΟΡΟΣ</t>
  </si>
  <si>
    <t>ΝΜΑ ΚΑΡΦΙΤΣΑ ΘΡΑΥΣΜΑ</t>
  </si>
  <si>
    <t>ΚΟΣΜΗΜΑΤΑ</t>
  </si>
  <si>
    <t>ΑΣΗΜΙ</t>
  </si>
  <si>
    <t>ΚΑΡΦΙΤΣΑ</t>
  </si>
  <si>
    <t>ΝΜΑ ΣΚΟΥΛΑΡΙΚΙΑ ΘΡΑΥΣΜΑΤΑ ΜΙΚΡΑ</t>
  </si>
  <si>
    <t>ΣΚΟΥΛΑΡΙΚΙΑ</t>
  </si>
  <si>
    <t>ΝΜΑ ΚΟΛΩΝΕΣ ΔΑΧΤΥΛΙΔΙ ΜΑΚΡΟΣΤΕΝΟ</t>
  </si>
  <si>
    <t>ΔΑΧΤΥΛΙΔΙ</t>
  </si>
  <si>
    <t>ΝΜΑ ΚΟΛΩΝΕΣ ΣΚΟΥΛΑΡΙΚΙΑ ΤΕΤΡΑΓΩΝΑ</t>
  </si>
  <si>
    <t>ΝΜΑ ΚΟΛΩΝΕΣ ΚΑΡΦΙΤΣΑ</t>
  </si>
  <si>
    <t>ΝΜΑ ΜΕΤΑΞΩΤΑ ΒΡΑΧΙΟΛΙΑ ΑΚΡΟΚΕΡΑΜΟ</t>
  </si>
  <si>
    <t>ΒΡΑΧΙΟΛΙ</t>
  </si>
  <si>
    <t>ΝΜΑ ΜΕΤΑΞΩΤΑ ΒΡΑΧΙΟΛΙΑ ΑΛΟΓΟ</t>
  </si>
  <si>
    <t>ΝΜΑ ΚΑΡΦΙΤΣΕΣ ΠΕΤΕΙΝΟΥ</t>
  </si>
  <si>
    <t>ΝΜΑ ΧΑΝΔΡΕΣ ΤΗΕΤΙS</t>
  </si>
  <si>
    <t>ΚΕΡΑΜΙΚΑ</t>
  </si>
  <si>
    <t>ΠΕΡΙΔΕΡΑΙΑ</t>
  </si>
  <si>
    <t>ΝΜΑ ΣΦΟΝΔΥΛΙΑ</t>
  </si>
  <si>
    <t>ΝΜΑ ΧΑΡΤΟΚΟΠΤΗΣ ΦΙΔΙ</t>
  </si>
  <si>
    <t xml:space="preserve">ΕΦΑΡΜΟΓΕΣ </t>
  </si>
  <si>
    <t>ΕΙΔΗ ΓΡΑΦΕΙΟΥ ΚΑΙ ΔΙΑΦΟΡΑ</t>
  </si>
  <si>
    <t>ΧΑΡΤΟΚΟΠΤΗΣ</t>
  </si>
  <si>
    <t>ΝΜΑ ΧΑΡΤΟΚΟΠΤΗΣ ΦΙΔΙ ΑΣΗΜΕΝΙΟΣ</t>
  </si>
  <si>
    <t>ΝΜΑ ΚΑΡΦΙΤΣΑ ΦΙΔΙ</t>
  </si>
  <si>
    <t>ΝΜΑ ΚΟΝΤΟΜΑΝΙΚΟ ΖΩΑ ΠΙΣΩ ΜΠΡΟΣΤΑ ΚΟΚΚΙΝΟ-ΜΑΥΡΟ ΝΟ13</t>
  </si>
  <si>
    <t>ΝΜΑ ΚΟΝΤΟΜΑΝΙΚΟ ACROPOLIS KIDS ΛΕΥΚΟ ΝΟ16</t>
  </si>
  <si>
    <t>ΝΜΑ ΚΑΡΦΙΤΣΕΣ ΦΙΔΙΟΥ</t>
  </si>
  <si>
    <t>ΝΜΑ ΚΑΡΦΙΤΣΕΣ ΡΟΔΙΟΥ</t>
  </si>
  <si>
    <t>ΝΜΑ Μεγάλες Στιγμές της Ελληνικής Αρχαιολογίας</t>
  </si>
  <si>
    <t>ΕΚΔΟΣΕΙΣ</t>
  </si>
  <si>
    <t>ΛΕΥΚΩΜΑ</t>
  </si>
  <si>
    <t>ΕΛΛΗΝΙΚΑ</t>
  </si>
  <si>
    <t>ΑΓΓΛΙΚΑ</t>
  </si>
  <si>
    <t xml:space="preserve">ΝΜΑ Το Χρυσάφι του κόσμου </t>
  </si>
  <si>
    <t>ΝΜΑ Πολεοδομική Εξέλιξις των Αθηνών-Από των προιστορικων  χρόνων μέχρι των αρχών του 19ου αιώνος</t>
  </si>
  <si>
    <t>ΝΜΑ Αθήνα - Ένα όραμα του κλασικισμού</t>
  </si>
  <si>
    <t>ΝΜΑ Ελλάδος Περιήγησης / Fred. Boissona</t>
  </si>
  <si>
    <t>ΝΜΑ Αιγαίο Άνωθεν</t>
  </si>
  <si>
    <t>ΝΜΑ Ελλάδα Διαδρομή Αιώνων</t>
  </si>
  <si>
    <t>ΕΛΛ/ΑΓΓ-ΔΙΓΛΩΣΣΟ</t>
  </si>
  <si>
    <t>ΝΜΑ Τα Γλυπτά του Παρθενώνα</t>
  </si>
  <si>
    <t>ΝΜΑ Το Αρχαιο Θέατρο του Διονύσου</t>
  </si>
  <si>
    <t>ΝΜΑ Εικόνες της Ελλάδας, Γή</t>
  </si>
  <si>
    <t>ΝΜΑ Η Ζωφόρος του Παρθενώνα</t>
  </si>
  <si>
    <t>ΝΜΑ Η Αθήνα κατά την Ρωμαική Εποχή, Σταύρος Βλίζος</t>
  </si>
  <si>
    <t>ΕΛΛ/ΑΓΓ/ΓΕΡ-ΤΡΙΓΛΩΣΣΟ</t>
  </si>
  <si>
    <t>ΝΜΑ Η Δημιουργική Φωτογραφία στην Αρχαιολογία</t>
  </si>
  <si>
    <t>ΝΜΑ Αθήνα 1839-1900, Φωτογραφικές Μαρτυρίες  / ΠΑΝΟΔΕΤΟ</t>
  </si>
  <si>
    <t>ΝΜΑ Αρχαία Ελληνική Γλυπτική - Αφιέρωμα στη μνήμη του γλύπτη Στέλιου Τριάντη</t>
  </si>
  <si>
    <t>ΕΛΛ/ΓΑΛ/ΓΕΡ/ΙΤΑΛ-ΤΕΤΡΑΓΛΩΣΣΟ</t>
  </si>
  <si>
    <t xml:space="preserve">ΝΜΑ ΔΑΧΤΥΛΙΔΙ ΘΡΑΥΣΜΑΤΑ ΜΕΣΑΙΟ </t>
  </si>
  <si>
    <t>ΝΜΑ Περίπατοι στον Παρθενώνα</t>
  </si>
  <si>
    <t>ΑΡΧΑΙΟΛΟΓΙΚΟΣ ΟΔΗΓΟΣ</t>
  </si>
  <si>
    <t>ΝΜΑ Πρόσωπα της Ακρόπολης</t>
  </si>
  <si>
    <t>ΝΜΑ ΣΠΙΡΑΛ ΗΜΕΡΟΛΟΓΙΟ</t>
  </si>
  <si>
    <t>ΗΜΕΡΟΛΟΓΙΟ</t>
  </si>
  <si>
    <t>NMA ΝΟΜΙΣΜΑ ΟΡΕΙΧΑΛΚΟΣ ΜΙΚΡΟ</t>
  </si>
  <si>
    <t>ΝΟΜΙΣΜΑΤΑ</t>
  </si>
  <si>
    <t>ΝΜΑ ΕΣΑΡΠΑ ΣΚΟΥΡΟΧΡΩΜΗ</t>
  </si>
  <si>
    <t>ΜΑΝΤΗΛΙΑ</t>
  </si>
  <si>
    <t xml:space="preserve">ΝΜΑ ΕΣΑΡΠΑ ΑΝΟΙΧΤΟΧΡΩΜΗ </t>
  </si>
  <si>
    <t>ΝΜΑ ΔΙΠΤΥΧΟ ΠΑΙΔΙΚΟ ΒΙΒΛΙΑΡΑΚΙ</t>
  </si>
  <si>
    <t>ΕΝΤΥΠΟ</t>
  </si>
  <si>
    <t>ΠΑΙΔΙΚΕΣ ΕΚΔΟΣΕΙΣ</t>
  </si>
  <si>
    <t>ΝΜΑ ΚΛΕΙΔΟΘΗΚΗ ΜΟΥΣΕΙΟΥ</t>
  </si>
  <si>
    <t>ΚΛΕΙΔΟΘΗΚΗ</t>
  </si>
  <si>
    <t>ΝΜΑ ΠΡΕΣ-ΠΑΠΙΕ ΚΑΡΥΑΤΙΔΑ</t>
  </si>
  <si>
    <t>ΠΡΕΣ ΠΑΠΙΕ</t>
  </si>
  <si>
    <t>ΝΜΑ ΚΑΡΤΟΘΗΚΗ ΦΙΔΙΑ</t>
  </si>
  <si>
    <t>ΝΜΑ ΒΡΑΧΙΟΛΙ ΦΙΔΙΑ</t>
  </si>
  <si>
    <t>ΝΜΑ ΒΡΑΧΙΟΛΙ ΦΙΔΙΑ ΕΠΙΧΡΥΣΟ</t>
  </si>
  <si>
    <t>NMA ΔΙΠΤΥΧΟ ΠΑΙΔΙΚΟ ΒΙΒΛΙΑΡΑΚΙ ΝΤΥΣΙΜΟ</t>
  </si>
  <si>
    <t>ΝΜΑ ΣΚΟΥΛΑΡΙΚΙΑ ΠΛΑΣΤΙΚΟΠΟΙΗΜΕΝΑ ΣΦΟΝΔΥΛΙΑ ΜΙΚΡΑ</t>
  </si>
  <si>
    <t>ΣΚΟΥΛΑΡΙΚΙ</t>
  </si>
  <si>
    <t>ΝΜΑ ΣΚΟΥΛΑΡΙΚΙΑ ΠΛΑΣΤΙΚΟΠΟΙΗΜΕΝΑ ΣΦΟΝΔΥΛΙΑ ΜΕΣΑΙΑ</t>
  </si>
  <si>
    <t>ΝΜΑ ΣΚΟΥΛΑΡΙΚΙΑ ΠΛΑΣΤΙΚΟΠΟΙΗΜΕΝΑ ΣΦΟΝΔΥΛΙΑ ΜΕΓΑΛΑ</t>
  </si>
  <si>
    <t>ΝΜΑ ΚΑΡΦΙΤΣΑ ΖΩΦΟΡΟΣ</t>
  </si>
  <si>
    <t>ΝΜΑ ΚΑΡΦΙΤΣΑ ΣΦΟΝΔΥΛΙΑ</t>
  </si>
  <si>
    <t>ΝΜΑ ΒΡΑΧΙΟΛΙ ΣΦΟΝΔΥΛΙΑ</t>
  </si>
  <si>
    <t>ΝΜΑ ΒΡΑΧΙΟΛΟ ΖΩΦΟΡΟΣ</t>
  </si>
  <si>
    <t>ΝΜΑ ΚΡΕΜΑΣΤΟ ΣΦΟΝΔΥΛΙΑ ΚΟΝΤΟ</t>
  </si>
  <si>
    <t>ΚΡΕΜΑΣΤΟ</t>
  </si>
  <si>
    <t>ΝΜΑΚΡΕΜΑΣΤΟ ΖΩΦΟΡΟΣ</t>
  </si>
  <si>
    <t>ΝΜΑ ΚΡΕΜΑΣΤΟ ΣΦΟΝΔΥΛΙΑ ΜΑΚΡΥ</t>
  </si>
  <si>
    <t>ΝΜΑ ΠΑΝΤΑΤΙΦ ΘΕΜΑ 1</t>
  </si>
  <si>
    <t>ΚΟΛΙΕ</t>
  </si>
  <si>
    <t>ΝΜΑ ΠΑΝΤΑΤΙΦ ΘΕΜΑ 2</t>
  </si>
  <si>
    <t>ΝΜΑ ΠΑΝΤΑΤΙΦ ΘΕΜΑ3</t>
  </si>
  <si>
    <t xml:space="preserve">ΑΓΝΥΘΕΣ ΠΡΕΣ ΠΑΠΙΕ ΜΙΚΡΟ ΜΠΡΟΥΤΖΙΝΟ </t>
  </si>
  <si>
    <t>ΔΙΑΚΟΣΜΗΤΙΚΟ</t>
  </si>
  <si>
    <t xml:space="preserve">ΑΓΝΥΘΕΣ ΠΡΕΣ ΠΑΠΙΕ ΜΙΚΡΟ ΑΛΟΥΜΙΝΙΟ </t>
  </si>
  <si>
    <t xml:space="preserve">ΑΓΝΥΘΕΣ ΠΡΕΣ ΠΑΠΙΕ ΜΕΓΑΛΟ  ΜΠΡΟΥΝΤΖΙΝΟ </t>
  </si>
  <si>
    <t>ΝΜΑ ΧΕΡΙΑ ΚΟΥΔΟΥΝΙΣΤΡΑ ΜΕΓΑΛΗ ΜΠΡΟΥΝΤΖΙΝΗ</t>
  </si>
  <si>
    <t xml:space="preserve">ΚΟΥΔΟΥΝΙΣΤΡΑ  </t>
  </si>
  <si>
    <t>ΝΜΑ ΧΕΡΙΑ ΔΑΧΤΥΛΙΔΙ ΑΣΗΜΕΝΙΟ</t>
  </si>
  <si>
    <t>ΝΜΑ ΦΩΤΟΦΟΡΟΣ ΚΑΡΥΑΤΙΔΕΣ</t>
  </si>
  <si>
    <t>ΝΜΑ ΦΩΤΟΦΟΡΟΣ ΖΩΟΦΟΡΟΣ</t>
  </si>
  <si>
    <t xml:space="preserve">ΝΜΑ ΣΟΥΒΕΡ ΖΩΟΦΟΡΟΣ </t>
  </si>
  <si>
    <t>ΣΟΥΒΕΡ</t>
  </si>
  <si>
    <t>ΝΜΑ ΣΕΤ ΣΟΥΒΕΡ PVC ΑΡΧΑΙΚΗ</t>
  </si>
  <si>
    <t>ΝΜΑ ΣΟΥΠΛΑ PVC (set 2 soupla-2souver) ΑΚΡΟΚΕΡΑΜΟ</t>
  </si>
  <si>
    <t>ΣΟΥΠΛΑ</t>
  </si>
  <si>
    <t>ΝΜΑ ΣΟΥΠΛΑ PVC (set 2 soupla-2souver) ΑΛΟΓΟ</t>
  </si>
  <si>
    <t>ΕΡΕΤΡΙΑ, ΜΑΤΙΕΣ ΣΕ ΜΙΑ ΑΡΧΑΙΑ ΠΟΛΗ</t>
  </si>
  <si>
    <t>ΝΜΑ ΕΣΑΡΠΑ ΜΠΡΟΝΤΩ</t>
  </si>
  <si>
    <t xml:space="preserve">ΓΕΝΙΚΗ ΑΞΙΑ ΕΜΠΟΡΕΥΜΑΤΩΝ- ΜΟΥΣΕΙΟ ΑΚΡΟΠΟΛΗΣ </t>
  </si>
  <si>
    <t xml:space="preserve">ΓΕΝΙΚΟ ΣΥΝΟΛΟ ΕΜΠΟΡΕΥΜΑΤΩΝ </t>
  </si>
  <si>
    <t>ΓΕΝΙΚΟ ΣΥΝΟΛΟ ΠΡΟΣ ΕΚΠΟΙΗΣΗ</t>
  </si>
  <si>
    <t>ΕΥΡΩ</t>
  </si>
  <si>
    <t>*</t>
  </si>
  <si>
    <t xml:space="preserve">Α=ΚΑΙΝΟΥΡΓΙΟ </t>
  </si>
  <si>
    <t xml:space="preserve">Β=ΜΕΤΑΧΕΙΡΙΣΜΕΝΟ ΜΕΤΡΙΑ ΕΩΣ ΚΑΛΗ ΚΑΤΑΣΤΑΣΗ </t>
  </si>
  <si>
    <t xml:space="preserve">Γ=ΚΑΚΗ ΚΑΤΑΣΤΑΣΗ </t>
  </si>
  <si>
    <t xml:space="preserve"> Ο Εκκαθαριστής </t>
  </si>
  <si>
    <t xml:space="preserve">Ο Εκτιμητής/Πραγματογνώμονας </t>
  </si>
  <si>
    <t>Δημήτριος  Αγγέλου</t>
  </si>
  <si>
    <t>Παναγιώτης Καλησπεράκης</t>
  </si>
  <si>
    <t>ΣΕΛΙΔΑ 11</t>
  </si>
</sst>
</file>

<file path=xl/styles.xml><?xml version="1.0" encoding="utf-8"?>
<styleSheet xmlns="http://schemas.openxmlformats.org/spreadsheetml/2006/main">
  <numFmts count="7">
    <numFmt numFmtId="164" formatCode="General"/>
    <numFmt numFmtId="165" formatCode="_([$€]* #,##0.00_);_([$€]* \(#,##0.00\);_([$€]* \-??_);_(@_)"/>
    <numFmt numFmtId="166" formatCode="0.00"/>
    <numFmt numFmtId="167" formatCode="#,##0.00"/>
    <numFmt numFmtId="168" formatCode="0"/>
    <numFmt numFmtId="169" formatCode="0.000"/>
    <numFmt numFmtId="170" formatCode="#,##0.00_ ;[RED]\-#,##0.00\ "/>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0"/>
    </font>
    <font>
      <sz val="11"/>
      <name val="Tahoma"/>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0"/>
      <name val="Arial"/>
      <family val="2"/>
    </font>
    <font>
      <b/>
      <sz val="11"/>
      <name val="Arial"/>
      <family val="2"/>
    </font>
    <font>
      <b/>
      <sz val="11"/>
      <name val="Tahoma"/>
      <family val="2"/>
    </font>
    <font>
      <b/>
      <sz val="12"/>
      <name val="Arial"/>
      <family val="2"/>
    </font>
    <font>
      <sz val="12"/>
      <name val="Arial"/>
      <family val="2"/>
    </font>
    <font>
      <sz val="14"/>
      <name val="Arial"/>
      <family val="2"/>
    </font>
    <font>
      <b/>
      <sz val="14"/>
      <name val="Tahoma"/>
      <family val="2"/>
    </font>
    <font>
      <b/>
      <sz val="11"/>
      <name val="Arial Narrow"/>
      <family val="2"/>
    </font>
    <font>
      <b/>
      <sz val="10"/>
      <name val="Arial Narrow"/>
      <family val="2"/>
    </font>
    <font>
      <sz val="8"/>
      <name val="Arial Narrow"/>
      <family val="2"/>
    </font>
    <font>
      <b/>
      <sz val="8"/>
      <name val="Arial Narrow"/>
      <family val="2"/>
    </font>
    <font>
      <b/>
      <sz val="14"/>
      <name val="Arial Narrow"/>
      <family val="2"/>
    </font>
    <font>
      <i/>
      <sz val="10"/>
      <name val="Arial"/>
      <family val="2"/>
    </font>
    <font>
      <b/>
      <sz val="2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style="thin">
        <color indexed="8"/>
      </right>
      <top style="thin">
        <color indexed="8"/>
      </top>
      <bottom>
        <color indexed="63"/>
      </bottom>
    </border>
    <border>
      <left style="medium">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double">
        <color indexed="8"/>
      </bottom>
    </border>
  </borders>
  <cellStyleXfs count="10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5" fontId="0" fillId="0" borderId="0" applyFill="0" applyBorder="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14" fillId="0" borderId="0">
      <alignment/>
      <protection/>
    </xf>
    <xf numFmtId="164" fontId="15" fillId="0" borderId="0">
      <alignment/>
      <protection/>
    </xf>
    <xf numFmtId="164" fontId="0" fillId="23" borderId="7" applyNumberFormat="0" applyAlignment="0" applyProtection="0"/>
    <xf numFmtId="164" fontId="16" fillId="20" borderId="8" applyNumberFormat="0" applyAlignment="0" applyProtection="0"/>
    <xf numFmtId="164" fontId="17" fillId="0" borderId="0" applyNumberFormat="0" applyFill="0" applyBorder="0" applyAlignment="0" applyProtection="0"/>
    <xf numFmtId="164" fontId="18" fillId="0" borderId="9" applyNumberFormat="0" applyFill="0" applyAlignment="0" applyProtection="0"/>
    <xf numFmtId="164" fontId="19" fillId="0" borderId="0" applyNumberFormat="0" applyFill="0" applyBorder="0" applyAlignment="0" applyProtection="0"/>
    <xf numFmtId="164" fontId="5" fillId="21" borderId="2" applyNumberFormat="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16" fillId="20" borderId="8" applyNumberFormat="0" applyAlignment="0" applyProtection="0"/>
    <xf numFmtId="164" fontId="0" fillId="0" borderId="0">
      <alignment/>
      <protection/>
    </xf>
    <xf numFmtId="164" fontId="11" fillId="7" borderId="1" applyNumberFormat="0" applyAlignment="0" applyProtection="0"/>
    <xf numFmtId="164" fontId="6" fillId="0" borderId="0" applyNumberFormat="0" applyFill="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3" fillId="3" borderId="0" applyNumberFormat="0" applyBorder="0" applyAlignment="0" applyProtection="0"/>
    <xf numFmtId="164" fontId="7" fillId="4" borderId="0" applyNumberFormat="0" applyBorder="0" applyAlignment="0" applyProtection="0"/>
    <xf numFmtId="164" fontId="13" fillId="22" borderId="0" applyNumberFormat="0" applyBorder="0" applyAlignment="0" applyProtection="0"/>
    <xf numFmtId="164" fontId="19" fillId="0" borderId="0" applyNumberFormat="0" applyFill="0" applyBorder="0" applyAlignment="0" applyProtection="0"/>
    <xf numFmtId="164" fontId="0" fillId="23" borderId="7" applyNumberFormat="0" applyAlignment="0" applyProtection="0"/>
    <xf numFmtId="164" fontId="12" fillId="0" borderId="6" applyNumberFormat="0" applyFill="0" applyAlignment="0" applyProtection="0"/>
    <xf numFmtId="164" fontId="18" fillId="0" borderId="9" applyNumberFormat="0" applyFill="0" applyAlignment="0" applyProtection="0"/>
    <xf numFmtId="164" fontId="17" fillId="0" borderId="0" applyNumberFormat="0" applyFill="0" applyBorder="0" applyAlignment="0" applyProtection="0"/>
    <xf numFmtId="164" fontId="4" fillId="20" borderId="1" applyNumberFormat="0" applyAlignment="0" applyProtection="0"/>
  </cellStyleXfs>
  <cellXfs count="210">
    <xf numFmtId="164" fontId="0" fillId="0" borderId="0" xfId="0" applyAlignment="1">
      <alignment/>
    </xf>
    <xf numFmtId="164" fontId="0" fillId="0" borderId="0" xfId="0" applyFont="1" applyFill="1" applyAlignment="1">
      <alignment/>
    </xf>
    <xf numFmtId="164" fontId="0" fillId="0" borderId="0" xfId="0" applyFont="1" applyFill="1" applyAlignment="1">
      <alignment horizontal="center"/>
    </xf>
    <xf numFmtId="164" fontId="0" fillId="0" borderId="0" xfId="0" applyFont="1" applyFill="1" applyAlignment="1">
      <alignment horizontal="right"/>
    </xf>
    <xf numFmtId="164" fontId="0" fillId="0" borderId="0" xfId="0" applyFont="1" applyFill="1" applyBorder="1" applyAlignment="1">
      <alignment horizontal="right"/>
    </xf>
    <xf numFmtId="164" fontId="0" fillId="0" borderId="0" xfId="0" applyFont="1" applyFill="1" applyBorder="1" applyAlignment="1">
      <alignment/>
    </xf>
    <xf numFmtId="166" fontId="0" fillId="0" borderId="0" xfId="0" applyNumberFormat="1" applyFont="1" applyFill="1" applyBorder="1" applyAlignment="1">
      <alignment horizontal="center"/>
    </xf>
    <xf numFmtId="164" fontId="20" fillId="0" borderId="10" xfId="0" applyFont="1" applyFill="1" applyBorder="1" applyAlignment="1">
      <alignment horizontal="center" wrapText="1"/>
    </xf>
    <xf numFmtId="164" fontId="0" fillId="24" borderId="10" xfId="0" applyFont="1" applyFill="1" applyBorder="1" applyAlignment="1">
      <alignment vertical="center" wrapText="1"/>
    </xf>
    <xf numFmtId="164" fontId="20" fillId="0" borderId="10" xfId="0" applyFont="1" applyFill="1" applyBorder="1" applyAlignment="1">
      <alignment horizontal="center"/>
    </xf>
    <xf numFmtId="166" fontId="21" fillId="0" borderId="0" xfId="0" applyNumberFormat="1" applyFont="1" applyFill="1" applyBorder="1" applyAlignment="1">
      <alignment horizontal="center"/>
    </xf>
    <xf numFmtId="164" fontId="21" fillId="0" borderId="0" xfId="0" applyFont="1" applyFill="1" applyBorder="1" applyAlignment="1">
      <alignment/>
    </xf>
    <xf numFmtId="164" fontId="21" fillId="0" borderId="0" xfId="0" applyFont="1" applyFill="1" applyAlignment="1">
      <alignment/>
    </xf>
    <xf numFmtId="164" fontId="22" fillId="0" borderId="11" xfId="0" applyFont="1" applyFill="1" applyBorder="1" applyAlignment="1">
      <alignment horizontal="center"/>
    </xf>
    <xf numFmtId="164" fontId="22" fillId="0" borderId="12" xfId="0" applyFont="1" applyFill="1" applyBorder="1" applyAlignment="1">
      <alignment horizontal="left"/>
    </xf>
    <xf numFmtId="164" fontId="22" fillId="0" borderId="13" xfId="0" applyFont="1" applyFill="1" applyBorder="1" applyAlignment="1">
      <alignment horizontal="center" wrapText="1"/>
    </xf>
    <xf numFmtId="164" fontId="22" fillId="0" borderId="12" xfId="0" applyFont="1" applyFill="1" applyBorder="1" applyAlignment="1">
      <alignment horizontal="center"/>
    </xf>
    <xf numFmtId="164" fontId="22" fillId="0" borderId="14" xfId="0" applyFont="1" applyFill="1" applyBorder="1" applyAlignment="1">
      <alignment horizontal="center" wrapText="1"/>
    </xf>
    <xf numFmtId="164" fontId="21" fillId="0" borderId="15" xfId="0" applyFont="1" applyFill="1" applyBorder="1" applyAlignment="1">
      <alignment horizontal="center" wrapText="1"/>
    </xf>
    <xf numFmtId="164" fontId="22" fillId="0" borderId="16" xfId="0" applyFont="1" applyFill="1" applyBorder="1" applyAlignment="1">
      <alignment horizontal="center"/>
    </xf>
    <xf numFmtId="164" fontId="22" fillId="0" borderId="17" xfId="0" applyFont="1" applyFill="1" applyBorder="1" applyAlignment="1">
      <alignment horizontal="center"/>
    </xf>
    <xf numFmtId="164" fontId="22" fillId="0" borderId="17" xfId="0" applyFont="1" applyFill="1" applyBorder="1" applyAlignment="1">
      <alignment horizontal="center" wrapText="1"/>
    </xf>
    <xf numFmtId="164" fontId="0" fillId="0" borderId="16" xfId="0" applyFont="1" applyFill="1" applyBorder="1" applyAlignment="1">
      <alignment horizontal="center" vertical="center" wrapText="1"/>
    </xf>
    <xf numFmtId="164" fontId="0" fillId="0" borderId="17" xfId="0" applyFont="1" applyFill="1" applyBorder="1" applyAlignment="1">
      <alignment horizontal="center" vertical="center" wrapText="1"/>
    </xf>
    <xf numFmtId="164" fontId="0" fillId="0" borderId="17" xfId="0" applyFont="1" applyFill="1" applyBorder="1" applyAlignment="1">
      <alignment horizontal="right"/>
    </xf>
    <xf numFmtId="164" fontId="0" fillId="0" borderId="18" xfId="0" applyFont="1" applyFill="1" applyBorder="1" applyAlignment="1">
      <alignment horizontal="center"/>
    </xf>
    <xf numFmtId="167" fontId="0" fillId="0" borderId="17" xfId="0" applyNumberFormat="1" applyFont="1" applyFill="1" applyBorder="1" applyAlignment="1">
      <alignment horizontal="center"/>
    </xf>
    <xf numFmtId="164" fontId="0" fillId="0" borderId="17" xfId="0" applyFont="1" applyFill="1" applyBorder="1" applyAlignment="1">
      <alignment/>
    </xf>
    <xf numFmtId="164" fontId="0" fillId="0" borderId="17" xfId="0" applyFont="1" applyFill="1" applyBorder="1" applyAlignment="1">
      <alignment horizontal="center"/>
    </xf>
    <xf numFmtId="164" fontId="0" fillId="0" borderId="17" xfId="0" applyFont="1" applyFill="1" applyBorder="1" applyAlignment="1">
      <alignment horizontal="center"/>
    </xf>
    <xf numFmtId="164" fontId="0" fillId="0" borderId="17" xfId="0" applyFont="1" applyFill="1" applyBorder="1" applyAlignment="1">
      <alignment horizontal="center" vertical="center"/>
    </xf>
    <xf numFmtId="164" fontId="0" fillId="0" borderId="16" xfId="0" applyFont="1" applyFill="1" applyBorder="1" applyAlignment="1">
      <alignment horizontal="center"/>
    </xf>
    <xf numFmtId="164" fontId="0" fillId="0" borderId="16" xfId="0" applyFont="1" applyFill="1" applyBorder="1" applyAlignment="1">
      <alignment horizontal="left" vertical="center"/>
    </xf>
    <xf numFmtId="164" fontId="0" fillId="0" borderId="17" xfId="0" applyFont="1" applyFill="1" applyBorder="1" applyAlignment="1">
      <alignment horizontal="left" vertical="center"/>
    </xf>
    <xf numFmtId="164" fontId="0" fillId="0" borderId="16" xfId="0" applyFont="1" applyFill="1" applyBorder="1" applyAlignment="1">
      <alignment horizontal="left" wrapText="1"/>
    </xf>
    <xf numFmtId="164" fontId="0" fillId="0" borderId="17" xfId="0" applyFont="1" applyFill="1" applyBorder="1" applyAlignment="1">
      <alignment horizontal="left" wrapText="1"/>
    </xf>
    <xf numFmtId="164" fontId="0" fillId="0" borderId="17" xfId="0" applyFont="1" applyFill="1" applyBorder="1" applyAlignment="1">
      <alignment horizontal="center" wrapText="1"/>
    </xf>
    <xf numFmtId="164" fontId="0" fillId="0" borderId="16" xfId="0" applyFont="1" applyFill="1" applyBorder="1" applyAlignment="1">
      <alignment/>
    </xf>
    <xf numFmtId="164" fontId="0" fillId="0" borderId="17" xfId="0" applyFont="1" applyFill="1" applyBorder="1" applyAlignment="1">
      <alignment wrapText="1"/>
    </xf>
    <xf numFmtId="164" fontId="0" fillId="0" borderId="19" xfId="0" applyFont="1" applyFill="1" applyBorder="1" applyAlignment="1">
      <alignment wrapText="1"/>
    </xf>
    <xf numFmtId="168" fontId="23" fillId="0" borderId="19" xfId="76" applyNumberFormat="1" applyFont="1" applyFill="1" applyBorder="1" applyAlignment="1">
      <alignment horizontal="center" vertical="center"/>
      <protection/>
    </xf>
    <xf numFmtId="164" fontId="0" fillId="0" borderId="19" xfId="0" applyFont="1" applyFill="1" applyBorder="1" applyAlignment="1">
      <alignment horizontal="right"/>
    </xf>
    <xf numFmtId="164" fontId="0" fillId="0" borderId="20" xfId="0" applyFont="1" applyFill="1" applyBorder="1" applyAlignment="1">
      <alignment horizontal="center"/>
    </xf>
    <xf numFmtId="167" fontId="0" fillId="0" borderId="20" xfId="0" applyNumberFormat="1" applyFont="1" applyFill="1" applyBorder="1" applyAlignment="1">
      <alignment horizontal="center"/>
    </xf>
    <xf numFmtId="164" fontId="0" fillId="0" borderId="19" xfId="0" applyFont="1" applyFill="1" applyBorder="1" applyAlignment="1">
      <alignment/>
    </xf>
    <xf numFmtId="168" fontId="23" fillId="0" borderId="17" xfId="76" applyNumberFormat="1" applyFont="1" applyFill="1" applyBorder="1" applyAlignment="1">
      <alignment horizontal="center" vertical="center"/>
      <protection/>
    </xf>
    <xf numFmtId="168" fontId="23" fillId="0" borderId="17" xfId="76" applyNumberFormat="1" applyFont="1" applyFill="1" applyBorder="1" applyAlignment="1">
      <alignment vertical="center"/>
      <protection/>
    </xf>
    <xf numFmtId="168" fontId="23" fillId="0" borderId="12" xfId="76" applyNumberFormat="1" applyFont="1" applyFill="1" applyBorder="1" applyAlignment="1">
      <alignment horizontal="center" vertical="center"/>
      <protection/>
    </xf>
    <xf numFmtId="167" fontId="0" fillId="0" borderId="12" xfId="0" applyNumberFormat="1" applyFont="1" applyFill="1" applyBorder="1" applyAlignment="1">
      <alignment horizontal="center"/>
    </xf>
    <xf numFmtId="167" fontId="22" fillId="0" borderId="12" xfId="0" applyNumberFormat="1" applyFont="1" applyFill="1" applyBorder="1" applyAlignment="1">
      <alignment horizontal="center"/>
    </xf>
    <xf numFmtId="164" fontId="21" fillId="0" borderId="17" xfId="0" applyFont="1" applyFill="1" applyBorder="1" applyAlignment="1">
      <alignment wrapText="1"/>
    </xf>
    <xf numFmtId="168" fontId="23" fillId="0" borderId="21" xfId="76" applyNumberFormat="1" applyFont="1" applyFill="1" applyBorder="1" applyAlignment="1">
      <alignment horizontal="center" vertical="center"/>
      <protection/>
    </xf>
    <xf numFmtId="164" fontId="20" fillId="0" borderId="22" xfId="0" applyFont="1" applyFill="1" applyBorder="1" applyAlignment="1">
      <alignment horizontal="center"/>
    </xf>
    <xf numFmtId="164" fontId="20" fillId="0" borderId="23" xfId="0" applyFont="1" applyFill="1" applyBorder="1" applyAlignment="1">
      <alignment horizontal="center"/>
    </xf>
    <xf numFmtId="164" fontId="20" fillId="0" borderId="24" xfId="0" applyFont="1" applyFill="1" applyBorder="1" applyAlignment="1">
      <alignment horizontal="center"/>
    </xf>
    <xf numFmtId="164" fontId="24" fillId="0" borderId="25" xfId="0" applyFont="1" applyFill="1" applyBorder="1" applyAlignment="1">
      <alignment horizontal="center"/>
    </xf>
    <xf numFmtId="164" fontId="21" fillId="0" borderId="11" xfId="0" applyFont="1" applyFill="1" applyBorder="1" applyAlignment="1">
      <alignment horizontal="center"/>
    </xf>
    <xf numFmtId="164" fontId="21" fillId="0" borderId="17" xfId="0" applyFont="1" applyFill="1" applyBorder="1" applyAlignment="1">
      <alignment horizontal="center"/>
    </xf>
    <xf numFmtId="164" fontId="21" fillId="0" borderId="26" xfId="0" applyFont="1" applyFill="1" applyBorder="1" applyAlignment="1">
      <alignment horizontal="center"/>
    </xf>
    <xf numFmtId="164" fontId="0" fillId="0" borderId="17" xfId="0" applyFont="1" applyFill="1" applyBorder="1" applyAlignment="1">
      <alignment/>
    </xf>
    <xf numFmtId="164" fontId="0" fillId="0" borderId="26" xfId="0" applyFont="1" applyFill="1" applyBorder="1" applyAlignment="1">
      <alignment horizontal="center"/>
    </xf>
    <xf numFmtId="164" fontId="21" fillId="0" borderId="17" xfId="0" applyFont="1" applyFill="1" applyBorder="1" applyAlignment="1">
      <alignment/>
    </xf>
    <xf numFmtId="168" fontId="23" fillId="0" borderId="18" xfId="76" applyNumberFormat="1" applyFont="1" applyFill="1" applyBorder="1" applyAlignment="1">
      <alignment horizontal="center" vertical="center"/>
      <protection/>
    </xf>
    <xf numFmtId="168" fontId="23" fillId="0" borderId="27" xfId="76" applyNumberFormat="1" applyFont="1" applyFill="1" applyBorder="1" applyAlignment="1">
      <alignment horizontal="center" vertical="center"/>
      <protection/>
    </xf>
    <xf numFmtId="168" fontId="23" fillId="0" borderId="0" xfId="76" applyNumberFormat="1" applyFont="1" applyFill="1" applyBorder="1" applyAlignment="1">
      <alignment horizontal="center" vertical="center"/>
      <protection/>
    </xf>
    <xf numFmtId="168" fontId="23" fillId="0" borderId="0" xfId="76" applyNumberFormat="1" applyFont="1" applyFill="1" applyBorder="1" applyAlignment="1">
      <alignment vertical="center"/>
      <protection/>
    </xf>
    <xf numFmtId="167" fontId="0" fillId="0" borderId="0" xfId="0" applyNumberFormat="1" applyFont="1" applyFill="1" applyBorder="1" applyAlignment="1">
      <alignment horizontal="center"/>
    </xf>
    <xf numFmtId="167" fontId="22" fillId="0" borderId="0" xfId="0" applyNumberFormat="1" applyFont="1" applyFill="1" applyBorder="1" applyAlignment="1">
      <alignment horizontal="center"/>
    </xf>
    <xf numFmtId="164" fontId="24" fillId="0" borderId="28" xfId="0" applyFont="1" applyFill="1" applyBorder="1" applyAlignment="1">
      <alignment horizontal="center"/>
    </xf>
    <xf numFmtId="164" fontId="24" fillId="0" borderId="29" xfId="0" applyFont="1" applyFill="1" applyBorder="1" applyAlignment="1">
      <alignment horizontal="center"/>
    </xf>
    <xf numFmtId="164" fontId="24" fillId="0" borderId="30" xfId="0" applyFont="1" applyFill="1" applyBorder="1" applyAlignment="1">
      <alignment horizontal="center"/>
    </xf>
    <xf numFmtId="164" fontId="24" fillId="0" borderId="31" xfId="0" applyFont="1" applyFill="1" applyBorder="1" applyAlignment="1">
      <alignment horizontal="center"/>
    </xf>
    <xf numFmtId="164" fontId="24" fillId="0" borderId="32" xfId="0" applyFont="1" applyFill="1" applyBorder="1" applyAlignment="1">
      <alignment horizontal="center"/>
    </xf>
    <xf numFmtId="164" fontId="24" fillId="0" borderId="12" xfId="0" applyFont="1" applyFill="1" applyBorder="1" applyAlignment="1">
      <alignment horizontal="center"/>
    </xf>
    <xf numFmtId="168" fontId="23" fillId="0" borderId="12" xfId="76" applyNumberFormat="1" applyFont="1" applyFill="1" applyBorder="1" applyAlignment="1">
      <alignment vertical="center"/>
      <protection/>
    </xf>
    <xf numFmtId="164" fontId="21" fillId="0" borderId="19" xfId="0" applyFont="1" applyFill="1" applyBorder="1" applyAlignment="1">
      <alignment/>
    </xf>
    <xf numFmtId="164" fontId="0" fillId="0" borderId="19" xfId="0" applyFont="1" applyFill="1" applyBorder="1" applyAlignment="1">
      <alignment horizontal="center"/>
    </xf>
    <xf numFmtId="164" fontId="21" fillId="0" borderId="19" xfId="0" applyFont="1" applyFill="1" applyBorder="1" applyAlignment="1">
      <alignment horizontal="center"/>
    </xf>
    <xf numFmtId="167" fontId="0" fillId="0" borderId="19" xfId="0" applyNumberFormat="1" applyFont="1" applyFill="1" applyBorder="1" applyAlignment="1">
      <alignment horizontal="center"/>
    </xf>
    <xf numFmtId="164" fontId="20" fillId="0" borderId="28" xfId="0" applyFont="1" applyFill="1" applyBorder="1" applyAlignment="1">
      <alignment horizontal="center"/>
    </xf>
    <xf numFmtId="164" fontId="20" fillId="0" borderId="29" xfId="0" applyFont="1" applyFill="1" applyBorder="1" applyAlignment="1">
      <alignment horizontal="center"/>
    </xf>
    <xf numFmtId="164" fontId="20" fillId="0" borderId="30" xfId="0" applyFont="1" applyFill="1" applyBorder="1" applyAlignment="1">
      <alignment horizontal="center"/>
    </xf>
    <xf numFmtId="164" fontId="21" fillId="0" borderId="33" xfId="0" applyFont="1" applyFill="1" applyBorder="1" applyAlignment="1">
      <alignment horizontal="center"/>
    </xf>
    <xf numFmtId="164" fontId="21" fillId="0" borderId="12" xfId="0" applyFont="1" applyFill="1" applyBorder="1" applyAlignment="1">
      <alignment horizontal="center"/>
    </xf>
    <xf numFmtId="164" fontId="21" fillId="0" borderId="34" xfId="0" applyFont="1" applyFill="1" applyBorder="1" applyAlignment="1">
      <alignment horizontal="center"/>
    </xf>
    <xf numFmtId="164" fontId="21" fillId="0" borderId="35" xfId="0" applyFont="1" applyFill="1" applyBorder="1" applyAlignment="1">
      <alignment/>
    </xf>
    <xf numFmtId="164" fontId="21" fillId="0" borderId="25" xfId="0" applyFont="1" applyFill="1" applyBorder="1" applyAlignment="1">
      <alignment horizontal="center"/>
    </xf>
    <xf numFmtId="164" fontId="0" fillId="0" borderId="36" xfId="0" applyFont="1" applyFill="1" applyBorder="1" applyAlignment="1">
      <alignment/>
    </xf>
    <xf numFmtId="164" fontId="0" fillId="0" borderId="12" xfId="0" applyFont="1" applyFill="1" applyBorder="1" applyAlignment="1">
      <alignment horizontal="center"/>
    </xf>
    <xf numFmtId="164" fontId="0" fillId="0" borderId="21" xfId="0" applyFont="1" applyFill="1" applyBorder="1" applyAlignment="1">
      <alignment horizontal="center"/>
    </xf>
    <xf numFmtId="164" fontId="21" fillId="0" borderId="0" xfId="0" applyFont="1" applyFill="1" applyBorder="1" applyAlignment="1">
      <alignment horizontal="center"/>
    </xf>
    <xf numFmtId="164" fontId="0" fillId="0" borderId="16" xfId="0" applyFont="1" applyFill="1" applyBorder="1" applyAlignment="1">
      <alignment wrapText="1"/>
    </xf>
    <xf numFmtId="164" fontId="0" fillId="0" borderId="37" xfId="0" applyFont="1" applyFill="1" applyBorder="1" applyAlignment="1">
      <alignment wrapText="1"/>
    </xf>
    <xf numFmtId="164" fontId="0" fillId="0" borderId="19" xfId="0" applyFont="1" applyFill="1" applyBorder="1" applyAlignment="1">
      <alignment horizontal="center"/>
    </xf>
    <xf numFmtId="164" fontId="21" fillId="0" borderId="0" xfId="0" applyFont="1" applyFill="1" applyBorder="1" applyAlignment="1">
      <alignment wrapText="1"/>
    </xf>
    <xf numFmtId="164" fontId="0" fillId="0" borderId="0" xfId="0" applyFont="1" applyFill="1" applyBorder="1" applyAlignment="1">
      <alignment horizontal="center"/>
    </xf>
    <xf numFmtId="164" fontId="21" fillId="0" borderId="24" xfId="0" applyFont="1" applyFill="1" applyBorder="1" applyAlignment="1">
      <alignment horizontal="center"/>
    </xf>
    <xf numFmtId="164" fontId="24" fillId="0" borderId="25" xfId="0" applyFont="1" applyFill="1" applyBorder="1" applyAlignment="1">
      <alignment horizontal="center" wrapText="1"/>
    </xf>
    <xf numFmtId="164" fontId="0" fillId="0" borderId="31" xfId="0" applyFont="1" applyFill="1" applyBorder="1" applyAlignment="1">
      <alignment wrapText="1"/>
    </xf>
    <xf numFmtId="164" fontId="0" fillId="0" borderId="38" xfId="0" applyFont="1" applyFill="1" applyBorder="1" applyAlignment="1">
      <alignment wrapText="1"/>
    </xf>
    <xf numFmtId="164" fontId="0" fillId="0" borderId="38" xfId="0" applyFont="1" applyFill="1" applyBorder="1" applyAlignment="1">
      <alignment/>
    </xf>
    <xf numFmtId="164" fontId="0" fillId="0" borderId="17" xfId="0" applyBorder="1" applyAlignment="1">
      <alignment/>
    </xf>
    <xf numFmtId="164" fontId="0" fillId="0" borderId="17" xfId="0" applyBorder="1" applyAlignment="1">
      <alignment horizontal="right"/>
    </xf>
    <xf numFmtId="164" fontId="0" fillId="0" borderId="17" xfId="0" applyFill="1" applyBorder="1" applyAlignment="1">
      <alignment horizontal="center"/>
    </xf>
    <xf numFmtId="164" fontId="0" fillId="0" borderId="17" xfId="0" applyBorder="1" applyAlignment="1">
      <alignment horizontal="center"/>
    </xf>
    <xf numFmtId="164" fontId="24" fillId="0" borderId="28" xfId="0" applyFont="1" applyBorder="1" applyAlignment="1">
      <alignment horizontal="center"/>
    </xf>
    <xf numFmtId="164" fontId="24" fillId="0" borderId="29" xfId="0" applyFont="1" applyBorder="1" applyAlignment="1">
      <alignment horizontal="center"/>
    </xf>
    <xf numFmtId="164" fontId="24" fillId="0" borderId="30" xfId="0" applyFont="1" applyBorder="1" applyAlignment="1">
      <alignment horizontal="center"/>
    </xf>
    <xf numFmtId="164" fontId="21" fillId="0" borderId="39" xfId="0" applyFont="1" applyBorder="1" applyAlignment="1">
      <alignment horizontal="center"/>
    </xf>
    <xf numFmtId="164" fontId="21" fillId="0" borderId="12" xfId="0" applyFont="1" applyBorder="1" applyAlignment="1">
      <alignment horizontal="center"/>
    </xf>
    <xf numFmtId="164" fontId="0" fillId="0" borderId="12" xfId="0" applyBorder="1" applyAlignment="1">
      <alignment horizontal="right"/>
    </xf>
    <xf numFmtId="164" fontId="0" fillId="0" borderId="25" xfId="0" applyBorder="1" applyAlignment="1">
      <alignment horizontal="center"/>
    </xf>
    <xf numFmtId="164" fontId="21" fillId="0" borderId="15" xfId="0" applyFont="1" applyBorder="1" applyAlignment="1">
      <alignment horizontal="center" wrapText="1"/>
    </xf>
    <xf numFmtId="164" fontId="0" fillId="0" borderId="0" xfId="0" applyBorder="1" applyAlignment="1">
      <alignment/>
    </xf>
    <xf numFmtId="166" fontId="25" fillId="0" borderId="0" xfId="0" applyNumberFormat="1" applyFont="1" applyFill="1" applyBorder="1" applyAlignment="1">
      <alignment horizontal="center"/>
    </xf>
    <xf numFmtId="164" fontId="25" fillId="0" borderId="0" xfId="0" applyFont="1" applyFill="1" applyBorder="1" applyAlignment="1">
      <alignment/>
    </xf>
    <xf numFmtId="164" fontId="0" fillId="0" borderId="16" xfId="0" applyFont="1" applyFill="1" applyBorder="1" applyAlignment="1">
      <alignment horizontal="left"/>
    </xf>
    <xf numFmtId="164" fontId="0" fillId="0" borderId="27" xfId="0" applyFont="1" applyFill="1" applyBorder="1" applyAlignment="1">
      <alignment horizontal="center"/>
    </xf>
    <xf numFmtId="164" fontId="0" fillId="0" borderId="18" xfId="0" applyBorder="1" applyAlignment="1">
      <alignment horizontal="center"/>
    </xf>
    <xf numFmtId="167" fontId="0" fillId="0" borderId="17" xfId="0" applyNumberFormat="1" applyBorder="1" applyAlignment="1">
      <alignment horizontal="center"/>
    </xf>
    <xf numFmtId="164" fontId="0" fillId="0" borderId="17" xfId="0" applyFont="1" applyBorder="1" applyAlignment="1">
      <alignment horizontal="center"/>
    </xf>
    <xf numFmtId="164" fontId="0" fillId="0" borderId="16" xfId="0" applyFont="1" applyBorder="1" applyAlignment="1">
      <alignment/>
    </xf>
    <xf numFmtId="164" fontId="0" fillId="0" borderId="27" xfId="0" applyBorder="1" applyAlignment="1">
      <alignment horizontal="center"/>
    </xf>
    <xf numFmtId="167" fontId="0" fillId="0" borderId="20" xfId="0" applyNumberFormat="1" applyBorder="1" applyAlignment="1">
      <alignment horizontal="center"/>
    </xf>
    <xf numFmtId="167" fontId="22" fillId="0" borderId="12" xfId="0" applyNumberFormat="1" applyFont="1" applyBorder="1" applyAlignment="1">
      <alignment horizontal="center"/>
    </xf>
    <xf numFmtId="164" fontId="20" fillId="0" borderId="28" xfId="0" applyFont="1" applyFill="1" applyBorder="1" applyAlignment="1">
      <alignment horizontal="center" wrapText="1"/>
    </xf>
    <xf numFmtId="164" fontId="20" fillId="0" borderId="29" xfId="0" applyFont="1" applyFill="1" applyBorder="1" applyAlignment="1">
      <alignment horizontal="center" wrapText="1"/>
    </xf>
    <xf numFmtId="164" fontId="20" fillId="0" borderId="30" xfId="0" applyFont="1" applyFill="1" applyBorder="1" applyAlignment="1">
      <alignment horizontal="center" wrapText="1"/>
    </xf>
    <xf numFmtId="166" fontId="26" fillId="0" borderId="0" xfId="0" applyNumberFormat="1" applyFont="1" applyFill="1" applyBorder="1" applyAlignment="1">
      <alignment horizontal="center"/>
    </xf>
    <xf numFmtId="164" fontId="26" fillId="0" borderId="0" xfId="0" applyFont="1" applyFill="1" applyBorder="1" applyAlignment="1">
      <alignment/>
    </xf>
    <xf numFmtId="164" fontId="26" fillId="0" borderId="0" xfId="0" applyFont="1" applyFill="1" applyAlignment="1">
      <alignment/>
    </xf>
    <xf numFmtId="164" fontId="21" fillId="0" borderId="40" xfId="0" applyFont="1" applyFill="1" applyBorder="1" applyAlignment="1">
      <alignment horizontal="center"/>
    </xf>
    <xf numFmtId="164" fontId="21" fillId="0" borderId="41" xfId="0" applyFont="1" applyFill="1" applyBorder="1" applyAlignment="1">
      <alignment horizontal="center"/>
    </xf>
    <xf numFmtId="164" fontId="0" fillId="0" borderId="0" xfId="0" applyFont="1" applyFill="1" applyBorder="1" applyAlignment="1">
      <alignment/>
    </xf>
    <xf numFmtId="164" fontId="0" fillId="0" borderId="42" xfId="0" applyFont="1" applyFill="1" applyBorder="1" applyAlignment="1">
      <alignment horizontal="center"/>
    </xf>
    <xf numFmtId="164" fontId="21" fillId="0" borderId="16" xfId="0" applyFont="1" applyFill="1" applyBorder="1" applyAlignment="1">
      <alignment horizontal="center"/>
    </xf>
    <xf numFmtId="164" fontId="21" fillId="0" borderId="17" xfId="0" applyFont="1" applyFill="1" applyBorder="1" applyAlignment="1">
      <alignment horizontal="center" wrapText="1"/>
    </xf>
    <xf numFmtId="164" fontId="21" fillId="0" borderId="26" xfId="0" applyFont="1" applyFill="1" applyBorder="1" applyAlignment="1">
      <alignment horizontal="center" wrapText="1"/>
    </xf>
    <xf numFmtId="164" fontId="15" fillId="0" borderId="16" xfId="76" applyFont="1" applyFill="1" applyBorder="1" applyAlignment="1">
      <alignment horizontal="left" vertical="center"/>
      <protection/>
    </xf>
    <xf numFmtId="168" fontId="23" fillId="0" borderId="17" xfId="76" applyNumberFormat="1" applyFont="1" applyFill="1" applyBorder="1" applyAlignment="1">
      <alignment horizontal="right" vertical="center"/>
      <protection/>
    </xf>
    <xf numFmtId="164" fontId="15" fillId="0" borderId="17" xfId="76" applyFont="1" applyFill="1" applyBorder="1" applyAlignment="1">
      <alignment horizontal="left" vertical="center"/>
      <protection/>
    </xf>
    <xf numFmtId="164" fontId="0" fillId="0" borderId="27" xfId="0" applyFont="1" applyFill="1" applyBorder="1" applyAlignment="1">
      <alignment/>
    </xf>
    <xf numFmtId="167" fontId="21" fillId="0" borderId="12" xfId="0" applyNumberFormat="1" applyFont="1" applyFill="1" applyBorder="1" applyAlignment="1">
      <alignment horizontal="center"/>
    </xf>
    <xf numFmtId="168" fontId="27" fillId="0" borderId="43" xfId="76" applyNumberFormat="1" applyFont="1" applyFill="1" applyBorder="1" applyAlignment="1">
      <alignment horizontal="right" vertical="center"/>
      <protection/>
    </xf>
    <xf numFmtId="168" fontId="27" fillId="0" borderId="0" xfId="76" applyNumberFormat="1" applyFont="1" applyFill="1" applyBorder="1" applyAlignment="1">
      <alignment horizontal="center" vertical="center"/>
      <protection/>
    </xf>
    <xf numFmtId="167" fontId="20" fillId="0" borderId="0" xfId="0" applyNumberFormat="1" applyFont="1" applyFill="1" applyBorder="1" applyAlignment="1">
      <alignment horizontal="center"/>
    </xf>
    <xf numFmtId="168" fontId="27" fillId="0" borderId="0" xfId="76" applyNumberFormat="1" applyFont="1" applyFill="1" applyBorder="1" applyAlignment="1">
      <alignment horizontal="right" vertical="center"/>
      <protection/>
    </xf>
    <xf numFmtId="164" fontId="24" fillId="0" borderId="28" xfId="0" applyFont="1" applyFill="1" applyBorder="1" applyAlignment="1">
      <alignment horizontal="center" wrapText="1"/>
    </xf>
    <xf numFmtId="164" fontId="24" fillId="0" borderId="29" xfId="0" applyFont="1" applyFill="1" applyBorder="1" applyAlignment="1">
      <alignment horizontal="center" wrapText="1"/>
    </xf>
    <xf numFmtId="164" fontId="24" fillId="0" borderId="17" xfId="0" applyFont="1" applyFill="1" applyBorder="1" applyAlignment="1">
      <alignment horizontal="center" wrapText="1"/>
    </xf>
    <xf numFmtId="166" fontId="0" fillId="0" borderId="17" xfId="0" applyNumberFormat="1" applyFont="1" applyFill="1" applyBorder="1" applyAlignment="1">
      <alignment horizontal="center"/>
    </xf>
    <xf numFmtId="164" fontId="28" fillId="0" borderId="44" xfId="0" applyFont="1" applyFill="1" applyBorder="1" applyAlignment="1">
      <alignment horizontal="center" wrapText="1"/>
    </xf>
    <xf numFmtId="164" fontId="28" fillId="0" borderId="29" xfId="0" applyFont="1" applyFill="1" applyBorder="1" applyAlignment="1">
      <alignment horizontal="center" wrapText="1"/>
    </xf>
    <xf numFmtId="164" fontId="28" fillId="0" borderId="45" xfId="0" applyFont="1" applyFill="1" applyBorder="1" applyAlignment="1">
      <alignment horizontal="center" wrapText="1"/>
    </xf>
    <xf numFmtId="164" fontId="0" fillId="0" borderId="21" xfId="0" applyFont="1" applyFill="1" applyBorder="1" applyAlignment="1">
      <alignment wrapText="1"/>
    </xf>
    <xf numFmtId="164" fontId="21" fillId="0" borderId="46" xfId="0" applyFont="1" applyFill="1" applyBorder="1" applyAlignment="1">
      <alignment horizontal="center" wrapText="1"/>
    </xf>
    <xf numFmtId="166" fontId="21" fillId="0" borderId="47" xfId="0" applyNumberFormat="1" applyFont="1" applyFill="1" applyBorder="1" applyAlignment="1">
      <alignment horizontal="center" wrapText="1"/>
    </xf>
    <xf numFmtId="164" fontId="25" fillId="0" borderId="0" xfId="0" applyFont="1" applyFill="1" applyAlignment="1">
      <alignment/>
    </xf>
    <xf numFmtId="164" fontId="29" fillId="0" borderId="48" xfId="0" applyFont="1" applyFill="1" applyBorder="1" applyAlignment="1">
      <alignment horizontal="center" wrapText="1"/>
    </xf>
    <xf numFmtId="164" fontId="29" fillId="0" borderId="49" xfId="0" applyFont="1" applyFill="1" applyBorder="1" applyAlignment="1">
      <alignment horizontal="center" wrapText="1"/>
    </xf>
    <xf numFmtId="164" fontId="29" fillId="0" borderId="41" xfId="0" applyFont="1" applyFill="1" applyBorder="1" applyAlignment="1">
      <alignment horizontal="center" wrapText="1"/>
    </xf>
    <xf numFmtId="164" fontId="29" fillId="0" borderId="50" xfId="0" applyFont="1" applyFill="1" applyBorder="1" applyAlignment="1">
      <alignment horizontal="center" wrapText="1"/>
    </xf>
    <xf numFmtId="169" fontId="29" fillId="0" borderId="13" xfId="0" applyNumberFormat="1" applyFont="1" applyFill="1" applyBorder="1" applyAlignment="1">
      <alignment horizontal="center" wrapText="1"/>
    </xf>
    <xf numFmtId="164" fontId="29" fillId="0" borderId="21" xfId="0" applyFont="1" applyFill="1" applyBorder="1" applyAlignment="1">
      <alignment horizontal="center" wrapText="1"/>
    </xf>
    <xf numFmtId="164" fontId="30" fillId="0" borderId="16" xfId="75" applyNumberFormat="1" applyFont="1" applyFill="1" applyBorder="1" applyAlignment="1">
      <alignment horizontal="center" wrapText="1"/>
      <protection/>
    </xf>
    <xf numFmtId="164" fontId="30" fillId="0" borderId="17" xfId="75" applyNumberFormat="1" applyFont="1" applyFill="1" applyBorder="1" applyAlignment="1">
      <alignment horizontal="center" wrapText="1"/>
      <protection/>
    </xf>
    <xf numFmtId="169" fontId="30" fillId="0" borderId="17" xfId="75" applyNumberFormat="1" applyFont="1" applyFill="1" applyBorder="1" applyAlignment="1">
      <alignment horizontal="center" wrapText="1"/>
      <protection/>
    </xf>
    <xf numFmtId="164" fontId="30" fillId="0" borderId="17" xfId="0" applyFont="1" applyFill="1" applyBorder="1" applyAlignment="1">
      <alignment horizontal="center" wrapText="1"/>
    </xf>
    <xf numFmtId="170" fontId="30" fillId="0" borderId="18" xfId="0" applyNumberFormat="1" applyFont="1" applyFill="1" applyBorder="1" applyAlignment="1">
      <alignment horizontal="center" wrapText="1"/>
    </xf>
    <xf numFmtId="167" fontId="0" fillId="0" borderId="18" xfId="0" applyNumberFormat="1" applyFont="1" applyFill="1" applyBorder="1" applyAlignment="1">
      <alignment horizontal="center"/>
    </xf>
    <xf numFmtId="166" fontId="0" fillId="0" borderId="17" xfId="0" applyNumberFormat="1" applyFont="1" applyFill="1" applyBorder="1" applyAlignment="1">
      <alignment horizontal="center" wrapText="1"/>
    </xf>
    <xf numFmtId="166" fontId="0" fillId="0" borderId="17" xfId="0" applyNumberFormat="1" applyFont="1" applyFill="1" applyBorder="1" applyAlignment="1">
      <alignment horizontal="center"/>
    </xf>
    <xf numFmtId="164" fontId="30" fillId="0" borderId="16" xfId="0" applyFont="1" applyFill="1" applyBorder="1" applyAlignment="1">
      <alignment horizontal="center" wrapText="1"/>
    </xf>
    <xf numFmtId="169" fontId="30" fillId="0" borderId="17" xfId="0" applyNumberFormat="1" applyFont="1" applyFill="1" applyBorder="1" applyAlignment="1">
      <alignment horizontal="center" wrapText="1"/>
    </xf>
    <xf numFmtId="164" fontId="30" fillId="0" borderId="51" xfId="75" applyNumberFormat="1" applyFont="1" applyFill="1" applyBorder="1" applyAlignment="1">
      <alignment horizontal="center" wrapText="1"/>
      <protection/>
    </xf>
    <xf numFmtId="164" fontId="30" fillId="0" borderId="52" xfId="75" applyNumberFormat="1" applyFont="1" applyFill="1" applyBorder="1" applyAlignment="1">
      <alignment horizontal="center" wrapText="1"/>
      <protection/>
    </xf>
    <xf numFmtId="169" fontId="30" fillId="0" borderId="52" xfId="0" applyNumberFormat="1" applyFont="1" applyFill="1" applyBorder="1" applyAlignment="1">
      <alignment horizontal="center" wrapText="1"/>
    </xf>
    <xf numFmtId="164" fontId="30" fillId="0" borderId="52" xfId="0" applyFont="1" applyFill="1" applyBorder="1" applyAlignment="1">
      <alignment horizontal="center" wrapText="1"/>
    </xf>
    <xf numFmtId="170" fontId="30" fillId="0" borderId="53" xfId="0" applyNumberFormat="1" applyFont="1" applyFill="1" applyBorder="1" applyAlignment="1">
      <alignment horizontal="center" wrapText="1"/>
    </xf>
    <xf numFmtId="164" fontId="30" fillId="0" borderId="48" xfId="75" applyNumberFormat="1" applyFont="1" applyFill="1" applyBorder="1" applyAlignment="1">
      <alignment horizontal="center" wrapText="1"/>
      <protection/>
    </xf>
    <xf numFmtId="164" fontId="30" fillId="0" borderId="13" xfId="75" applyNumberFormat="1" applyFont="1" applyFill="1" applyBorder="1" applyAlignment="1">
      <alignment horizontal="center" wrapText="1"/>
      <protection/>
    </xf>
    <xf numFmtId="169" fontId="30" fillId="0" borderId="13" xfId="0" applyNumberFormat="1" applyFont="1" applyFill="1" applyBorder="1" applyAlignment="1">
      <alignment horizontal="center" wrapText="1"/>
    </xf>
    <xf numFmtId="164" fontId="30" fillId="0" borderId="13" xfId="0" applyFont="1" applyFill="1" applyBorder="1" applyAlignment="1">
      <alignment horizontal="center" wrapText="1"/>
    </xf>
    <xf numFmtId="170" fontId="30" fillId="0" borderId="49" xfId="0" applyNumberFormat="1" applyFont="1" applyFill="1" applyBorder="1" applyAlignment="1">
      <alignment horizontal="center" wrapText="1"/>
    </xf>
    <xf numFmtId="164" fontId="30" fillId="0" borderId="51" xfId="0" applyFont="1" applyFill="1" applyBorder="1" applyAlignment="1">
      <alignment horizontal="center" wrapText="1"/>
    </xf>
    <xf numFmtId="164" fontId="30" fillId="0" borderId="48" xfId="0" applyFont="1" applyFill="1" applyBorder="1" applyAlignment="1">
      <alignment horizontal="center" wrapText="1"/>
    </xf>
    <xf numFmtId="164" fontId="31" fillId="0" borderId="16" xfId="0" applyNumberFormat="1" applyFont="1" applyFill="1" applyBorder="1" applyAlignment="1">
      <alignment horizontal="center" wrapText="1"/>
    </xf>
    <xf numFmtId="170" fontId="31" fillId="0" borderId="17" xfId="0" applyNumberFormat="1" applyFont="1" applyFill="1" applyBorder="1" applyAlignment="1">
      <alignment horizontal="center" wrapText="1"/>
    </xf>
    <xf numFmtId="170" fontId="31" fillId="0" borderId="18" xfId="0" applyNumberFormat="1" applyFont="1" applyFill="1" applyBorder="1" applyAlignment="1">
      <alignment horizontal="center" wrapText="1"/>
    </xf>
    <xf numFmtId="167" fontId="0" fillId="0" borderId="54" xfId="0" applyNumberFormat="1" applyFont="1" applyFill="1" applyBorder="1" applyAlignment="1">
      <alignment horizontal="center"/>
    </xf>
    <xf numFmtId="168" fontId="23" fillId="0" borderId="43" xfId="76" applyNumberFormat="1" applyFont="1" applyFill="1" applyBorder="1" applyAlignment="1">
      <alignment horizontal="center" vertical="center"/>
      <protection/>
    </xf>
    <xf numFmtId="164" fontId="32" fillId="0" borderId="10" xfId="0" applyFont="1" applyFill="1" applyBorder="1" applyAlignment="1">
      <alignment horizontal="center" wrapText="1"/>
    </xf>
    <xf numFmtId="164" fontId="29" fillId="0" borderId="11" xfId="0" applyFont="1" applyFill="1" applyBorder="1" applyAlignment="1">
      <alignment horizontal="center" wrapText="1"/>
    </xf>
    <xf numFmtId="169" fontId="29" fillId="0" borderId="12" xfId="0" applyNumberFormat="1" applyFont="1" applyFill="1" applyBorder="1" applyAlignment="1">
      <alignment horizontal="center" wrapText="1"/>
    </xf>
    <xf numFmtId="164" fontId="29" fillId="0" borderId="25" xfId="0" applyFont="1" applyFill="1" applyBorder="1" applyAlignment="1">
      <alignment horizontal="center" wrapText="1"/>
    </xf>
    <xf numFmtId="166" fontId="21" fillId="0" borderId="10" xfId="0" applyNumberFormat="1" applyFont="1" applyFill="1" applyBorder="1" applyAlignment="1">
      <alignment horizontal="center" wrapText="1"/>
    </xf>
    <xf numFmtId="164" fontId="0" fillId="0" borderId="12" xfId="0" applyFont="1" applyFill="1" applyBorder="1" applyAlignment="1">
      <alignment horizontal="center"/>
    </xf>
    <xf numFmtId="164" fontId="30" fillId="0" borderId="17" xfId="75" applyFont="1" applyFill="1" applyBorder="1" applyAlignment="1">
      <alignment horizontal="center" wrapText="1"/>
      <protection/>
    </xf>
    <xf numFmtId="166" fontId="33" fillId="0" borderId="17" xfId="0" applyNumberFormat="1" applyFont="1" applyFill="1" applyBorder="1" applyAlignment="1">
      <alignment horizontal="center"/>
    </xf>
    <xf numFmtId="164" fontId="30" fillId="0" borderId="16" xfId="75" applyFont="1" applyFill="1" applyBorder="1" applyAlignment="1">
      <alignment horizontal="center" wrapText="1"/>
      <protection/>
    </xf>
    <xf numFmtId="164" fontId="30" fillId="0" borderId="51" xfId="75" applyFont="1" applyFill="1" applyBorder="1" applyAlignment="1">
      <alignment horizontal="center" wrapText="1"/>
      <protection/>
    </xf>
    <xf numFmtId="166" fontId="0" fillId="0" borderId="0" xfId="0" applyNumberFormat="1" applyFont="1" applyFill="1" applyBorder="1" applyAlignment="1">
      <alignment horizontal="center"/>
    </xf>
    <xf numFmtId="164" fontId="20" fillId="0" borderId="0" xfId="0" applyFont="1" applyFill="1" applyBorder="1" applyAlignment="1">
      <alignment horizontal="center"/>
    </xf>
    <xf numFmtId="164" fontId="20" fillId="0" borderId="0" xfId="0" applyFont="1" applyFill="1" applyAlignment="1">
      <alignment/>
    </xf>
    <xf numFmtId="167" fontId="20" fillId="0" borderId="0" xfId="0" applyNumberFormat="1" applyFont="1" applyFill="1" applyBorder="1" applyAlignment="1">
      <alignment/>
    </xf>
    <xf numFmtId="166" fontId="20" fillId="0" borderId="0" xfId="0" applyNumberFormat="1" applyFont="1" applyFill="1" applyBorder="1" applyAlignment="1">
      <alignment horizontal="center"/>
    </xf>
    <xf numFmtId="164" fontId="34" fillId="0" borderId="0" xfId="0" applyFont="1" applyFill="1" applyBorder="1" applyAlignment="1">
      <alignment horizontal="right"/>
    </xf>
    <xf numFmtId="164" fontId="24" fillId="0" borderId="0" xfId="0" applyFont="1" applyFill="1" applyAlignment="1">
      <alignment horizontal="left"/>
    </xf>
    <xf numFmtId="164" fontId="21" fillId="0" borderId="0" xfId="0" applyFont="1" applyFill="1" applyAlignment="1">
      <alignment horizontal="center"/>
    </xf>
    <xf numFmtId="164" fontId="0" fillId="0" borderId="0" xfId="0" applyFont="1" applyFill="1" applyAlignment="1">
      <alignment/>
    </xf>
  </cellXfs>
  <cellStyles count="92">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Έμφαση1" xfId="26"/>
    <cellStyle name="20% - Έμφαση2" xfId="27"/>
    <cellStyle name="20% - Έμφαση3" xfId="28"/>
    <cellStyle name="20% - Έμφαση4" xfId="29"/>
    <cellStyle name="20% - Έμφαση5" xfId="30"/>
    <cellStyle name="20% - Έμφαση6" xfId="31"/>
    <cellStyle name="40% - Accent1" xfId="32"/>
    <cellStyle name="40% - Accent2" xfId="33"/>
    <cellStyle name="40% - Accent3" xfId="34"/>
    <cellStyle name="40% - Accent4" xfId="35"/>
    <cellStyle name="40% - Accent5" xfId="36"/>
    <cellStyle name="40% - Accent6" xfId="37"/>
    <cellStyle name="40% - Έμφαση1" xfId="38"/>
    <cellStyle name="40% - Έμφαση2" xfId="39"/>
    <cellStyle name="40% - Έμφαση3" xfId="40"/>
    <cellStyle name="40% - Έμφαση4" xfId="41"/>
    <cellStyle name="40% - Έμφαση5" xfId="42"/>
    <cellStyle name="40% - Έμφαση6" xfId="43"/>
    <cellStyle name="60% - Accent1" xfId="44"/>
    <cellStyle name="60% - Accent2" xfId="45"/>
    <cellStyle name="60% - Accent3" xfId="46"/>
    <cellStyle name="60% - Accent4" xfId="47"/>
    <cellStyle name="60% - Accent5" xfId="48"/>
    <cellStyle name="60% - Accent6" xfId="49"/>
    <cellStyle name="60% - Έμφαση1" xfId="50"/>
    <cellStyle name="60% - Έμφαση2" xfId="51"/>
    <cellStyle name="60% - Έμφαση3" xfId="52"/>
    <cellStyle name="60% - Έμφαση4" xfId="53"/>
    <cellStyle name="60% - Έμφαση5" xfId="54"/>
    <cellStyle name="60% - Έμφαση6" xfId="55"/>
    <cellStyle name="Accent1" xfId="56"/>
    <cellStyle name="Accent2" xfId="57"/>
    <cellStyle name="Accent3" xfId="58"/>
    <cellStyle name="Accent4" xfId="59"/>
    <cellStyle name="Accent5" xfId="60"/>
    <cellStyle name="Accent6" xfId="61"/>
    <cellStyle name="Bad" xfId="62"/>
    <cellStyle name="Calculation" xfId="63"/>
    <cellStyle name="Check Cell" xfId="64"/>
    <cellStyle name="Euro" xfId="65"/>
    <cellStyle name="Explanatory Text" xfId="66"/>
    <cellStyle name="Good" xfId="67"/>
    <cellStyle name="Heading 1" xfId="68"/>
    <cellStyle name="Heading 2" xfId="69"/>
    <cellStyle name="Heading 3" xfId="70"/>
    <cellStyle name="Heading 4" xfId="71"/>
    <cellStyle name="Input" xfId="72"/>
    <cellStyle name="Linked Cell" xfId="73"/>
    <cellStyle name="Neutral" xfId="74"/>
    <cellStyle name="Normal_Sheet1" xfId="75"/>
    <cellStyle name="Normal_ΕΠΙΠΛΑ ΘΕΣΣΑΛΟΝΙΚΗΣ" xfId="76"/>
    <cellStyle name="Note" xfId="77"/>
    <cellStyle name="Output" xfId="78"/>
    <cellStyle name="Title" xfId="79"/>
    <cellStyle name="Total" xfId="80"/>
    <cellStyle name="Warning Text" xfId="81"/>
    <cellStyle name="Έλεγχος κελιού" xfId="82"/>
    <cellStyle name="Έμφαση1" xfId="83"/>
    <cellStyle name="Έμφαση2" xfId="84"/>
    <cellStyle name="Έμφαση3" xfId="85"/>
    <cellStyle name="Έμφαση4" xfId="86"/>
    <cellStyle name="Έμφαση5" xfId="87"/>
    <cellStyle name="Έμφαση6" xfId="88"/>
    <cellStyle name="Έξοδος" xfId="89"/>
    <cellStyle name="Βασικό_Φύλλο1" xfId="90"/>
    <cellStyle name="Εισαγωγή" xfId="91"/>
    <cellStyle name="Επεξηγηματικό κείμενο" xfId="92"/>
    <cellStyle name="Επικεφαλίδα 1" xfId="93"/>
    <cellStyle name="Επικεφαλίδα 2" xfId="94"/>
    <cellStyle name="Επικεφαλίδα 3" xfId="95"/>
    <cellStyle name="Επικεφαλίδα 4" xfId="96"/>
    <cellStyle name="Κακό" xfId="97"/>
    <cellStyle name="Καλό" xfId="98"/>
    <cellStyle name="Ουδέτερο" xfId="99"/>
    <cellStyle name="Προειδοποιητικό κείμενο" xfId="100"/>
    <cellStyle name="Σημείωση" xfId="101"/>
    <cellStyle name="Συνδεδεμένο κελί" xfId="102"/>
    <cellStyle name="Σύνολο" xfId="103"/>
    <cellStyle name="Τίτλος" xfId="104"/>
    <cellStyle name="Υπολογισμός" xfId="10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544"/>
  <sheetViews>
    <sheetView tabSelected="1" workbookViewId="0" topLeftCell="A1">
      <selection activeCell="A2" sqref="A2"/>
    </sheetView>
  </sheetViews>
  <sheetFormatPr defaultColWidth="9.140625" defaultRowHeight="12.75"/>
  <cols>
    <col min="1" max="1" width="57.00390625" style="1" customWidth="1"/>
    <col min="2" max="2" width="17.00390625" style="1" customWidth="1"/>
    <col min="3" max="3" width="16.57421875" style="2" customWidth="1"/>
    <col min="4" max="4" width="11.140625" style="1" customWidth="1"/>
    <col min="5" max="5" width="15.57421875" style="3" customWidth="1"/>
    <col min="6" max="6" width="16.421875" style="2" customWidth="1"/>
    <col min="7" max="7" width="18.7109375" style="4" customWidth="1"/>
    <col min="8" max="8" width="16.7109375" style="5" customWidth="1"/>
    <col min="9" max="10" width="0" style="5" hidden="1" customWidth="1"/>
    <col min="11" max="11" width="15.8515625" style="5" customWidth="1"/>
    <col min="12" max="12" width="14.140625" style="6" customWidth="1"/>
    <col min="13" max="21" width="9.140625" style="5" customWidth="1"/>
    <col min="22" max="16384" width="9.140625" style="1" customWidth="1"/>
  </cols>
  <sheetData>
    <row r="1" spans="1:11" ht="51" customHeight="1">
      <c r="A1" s="7" t="s">
        <v>0</v>
      </c>
      <c r="B1" s="7"/>
      <c r="C1" s="7"/>
      <c r="D1" s="7"/>
      <c r="E1" s="7"/>
      <c r="F1" s="7"/>
      <c r="G1" s="7"/>
      <c r="H1" s="7"/>
      <c r="I1" s="7"/>
      <c r="J1" s="7"/>
      <c r="K1" s="7"/>
    </row>
    <row r="2" spans="1:24" ht="171" customHeight="1">
      <c r="A2" s="8" t="s">
        <v>1</v>
      </c>
      <c r="B2" s="8"/>
      <c r="C2" s="8"/>
      <c r="D2" s="8"/>
      <c r="E2" s="8"/>
      <c r="F2" s="8"/>
      <c r="G2" s="8"/>
      <c r="H2" s="8"/>
      <c r="I2" s="8"/>
      <c r="J2" s="8"/>
      <c r="K2" s="8"/>
      <c r="L2" s="5"/>
      <c r="V2" s="5"/>
      <c r="W2" s="5"/>
      <c r="X2" s="5"/>
    </row>
    <row r="3" spans="1:11" ht="51.75" customHeight="1">
      <c r="A3" s="7" t="s">
        <v>2</v>
      </c>
      <c r="B3" s="7"/>
      <c r="C3" s="7"/>
      <c r="D3" s="7"/>
      <c r="E3" s="7"/>
      <c r="F3" s="7"/>
      <c r="G3" s="7"/>
      <c r="H3" s="7"/>
      <c r="I3" s="7"/>
      <c r="J3" s="7"/>
      <c r="K3" s="7"/>
    </row>
    <row r="4" spans="1:21" s="12" customFormat="1" ht="24" customHeight="1">
      <c r="A4" s="9" t="s">
        <v>3</v>
      </c>
      <c r="B4" s="9"/>
      <c r="C4" s="9"/>
      <c r="D4" s="9"/>
      <c r="E4" s="9"/>
      <c r="F4" s="9"/>
      <c r="G4" s="9"/>
      <c r="H4" s="9"/>
      <c r="I4" s="9"/>
      <c r="J4" s="9"/>
      <c r="K4" s="9"/>
      <c r="L4" s="10"/>
      <c r="M4" s="11"/>
      <c r="N4" s="11"/>
      <c r="O4" s="11"/>
      <c r="P4" s="11"/>
      <c r="Q4" s="11"/>
      <c r="R4" s="11"/>
      <c r="S4" s="11"/>
      <c r="T4" s="11"/>
      <c r="U4" s="11"/>
    </row>
    <row r="5" spans="1:21" s="12" customFormat="1" ht="46.5" customHeight="1">
      <c r="A5" s="13" t="s">
        <v>4</v>
      </c>
      <c r="B5" s="14"/>
      <c r="C5" s="15" t="s">
        <v>5</v>
      </c>
      <c r="D5" s="16" t="s">
        <v>6</v>
      </c>
      <c r="E5" s="16"/>
      <c r="F5" s="17" t="s">
        <v>7</v>
      </c>
      <c r="G5" s="18" t="s">
        <v>8</v>
      </c>
      <c r="H5" s="18" t="s">
        <v>9</v>
      </c>
      <c r="I5" s="11"/>
      <c r="J5" s="11"/>
      <c r="K5" s="18" t="s">
        <v>10</v>
      </c>
      <c r="L5" s="10"/>
      <c r="M5" s="11"/>
      <c r="N5" s="11"/>
      <c r="O5" s="11"/>
      <c r="P5" s="11"/>
      <c r="Q5" s="11"/>
      <c r="R5" s="11"/>
      <c r="S5" s="11"/>
      <c r="T5" s="11"/>
      <c r="U5" s="11"/>
    </row>
    <row r="6" spans="1:21" s="12" customFormat="1" ht="30">
      <c r="A6" s="19" t="s">
        <v>11</v>
      </c>
      <c r="B6" s="20"/>
      <c r="C6" s="15"/>
      <c r="D6" s="21" t="s">
        <v>12</v>
      </c>
      <c r="E6" s="21" t="s">
        <v>13</v>
      </c>
      <c r="F6" s="17"/>
      <c r="G6" s="18"/>
      <c r="H6" s="18"/>
      <c r="I6" s="11"/>
      <c r="J6" s="11"/>
      <c r="K6" s="18"/>
      <c r="L6" s="10"/>
      <c r="M6" s="11"/>
      <c r="N6" s="11"/>
      <c r="O6" s="11"/>
      <c r="P6" s="11"/>
      <c r="Q6" s="11"/>
      <c r="R6" s="11"/>
      <c r="S6" s="11"/>
      <c r="T6" s="11"/>
      <c r="U6" s="11"/>
    </row>
    <row r="7" spans="1:11" ht="15" customHeight="1">
      <c r="A7" s="22" t="s">
        <v>14</v>
      </c>
      <c r="B7" s="23"/>
      <c r="C7" s="23" t="s">
        <v>15</v>
      </c>
      <c r="D7" s="24">
        <v>41</v>
      </c>
      <c r="E7" s="24">
        <v>10</v>
      </c>
      <c r="F7" s="25">
        <f aca="true" t="shared" si="0" ref="F7:F8">SUM(D7:E7)</f>
        <v>51</v>
      </c>
      <c r="G7" s="26">
        <v>21.4</v>
      </c>
      <c r="H7" s="26">
        <f aca="true" t="shared" si="1" ref="H7:H23">G7*F7</f>
        <v>1091.3999999999999</v>
      </c>
      <c r="I7" s="27"/>
      <c r="J7" s="27"/>
      <c r="K7" s="28" t="s">
        <v>16</v>
      </c>
    </row>
    <row r="8" spans="1:11" ht="12.75">
      <c r="A8" s="22"/>
      <c r="B8" s="23"/>
      <c r="C8" s="23" t="s">
        <v>17</v>
      </c>
      <c r="D8" s="24">
        <v>2</v>
      </c>
      <c r="E8" s="24">
        <v>3</v>
      </c>
      <c r="F8" s="25">
        <f t="shared" si="0"/>
        <v>5</v>
      </c>
      <c r="G8" s="26">
        <v>25</v>
      </c>
      <c r="H8" s="26">
        <f t="shared" si="1"/>
        <v>125</v>
      </c>
      <c r="I8" s="27"/>
      <c r="J8" s="27"/>
      <c r="K8" s="28" t="s">
        <v>16</v>
      </c>
    </row>
    <row r="9" spans="1:11" ht="12.75">
      <c r="A9" s="22"/>
      <c r="B9" s="23"/>
      <c r="C9" s="23" t="s">
        <v>18</v>
      </c>
      <c r="D9" s="24">
        <v>5</v>
      </c>
      <c r="E9" s="24"/>
      <c r="F9" s="25">
        <v>6</v>
      </c>
      <c r="G9" s="26">
        <v>28.5</v>
      </c>
      <c r="H9" s="26">
        <f t="shared" si="1"/>
        <v>171</v>
      </c>
      <c r="I9" s="27"/>
      <c r="J9" s="27"/>
      <c r="K9" s="28"/>
    </row>
    <row r="10" spans="1:11" ht="12.75">
      <c r="A10" s="22"/>
      <c r="B10" s="23"/>
      <c r="C10" s="23" t="s">
        <v>19</v>
      </c>
      <c r="D10" s="24">
        <v>4</v>
      </c>
      <c r="E10" s="24"/>
      <c r="F10" s="25">
        <f aca="true" t="shared" si="2" ref="F10:F18">SUM(D10:E10)</f>
        <v>4</v>
      </c>
      <c r="G10" s="26">
        <v>21.4</v>
      </c>
      <c r="H10" s="26">
        <f t="shared" si="1"/>
        <v>85.6</v>
      </c>
      <c r="I10" s="27"/>
      <c r="J10" s="27"/>
      <c r="K10" s="28" t="s">
        <v>16</v>
      </c>
    </row>
    <row r="11" spans="1:11" ht="12.75">
      <c r="A11" s="22"/>
      <c r="B11" s="23"/>
      <c r="C11" s="23" t="s">
        <v>20</v>
      </c>
      <c r="D11" s="24"/>
      <c r="E11" s="24">
        <v>1</v>
      </c>
      <c r="F11" s="25">
        <f t="shared" si="2"/>
        <v>1</v>
      </c>
      <c r="G11" s="26">
        <v>14.3</v>
      </c>
      <c r="H11" s="26">
        <f t="shared" si="1"/>
        <v>14.3</v>
      </c>
      <c r="I11" s="27"/>
      <c r="J11" s="27"/>
      <c r="K11" s="28" t="s">
        <v>16</v>
      </c>
    </row>
    <row r="12" spans="1:11" ht="12.75" customHeight="1">
      <c r="A12" s="22"/>
      <c r="B12" s="23"/>
      <c r="C12" s="23" t="s">
        <v>21</v>
      </c>
      <c r="D12" s="24">
        <v>18</v>
      </c>
      <c r="E12" s="24">
        <v>3</v>
      </c>
      <c r="F12" s="25">
        <f t="shared" si="2"/>
        <v>21</v>
      </c>
      <c r="G12" s="26">
        <v>14.3</v>
      </c>
      <c r="H12" s="26">
        <f t="shared" si="1"/>
        <v>300.3</v>
      </c>
      <c r="I12" s="27"/>
      <c r="J12" s="27"/>
      <c r="K12" s="28" t="s">
        <v>16</v>
      </c>
    </row>
    <row r="13" spans="1:11" ht="12.75" customHeight="1">
      <c r="A13" s="22" t="s">
        <v>22</v>
      </c>
      <c r="B13" s="23"/>
      <c r="C13" s="23" t="s">
        <v>23</v>
      </c>
      <c r="D13" s="24">
        <v>2</v>
      </c>
      <c r="E13" s="24"/>
      <c r="F13" s="25">
        <f t="shared" si="2"/>
        <v>2</v>
      </c>
      <c r="G13" s="26">
        <v>17.8</v>
      </c>
      <c r="H13" s="26">
        <f t="shared" si="1"/>
        <v>35.6</v>
      </c>
      <c r="I13" s="27"/>
      <c r="J13" s="27"/>
      <c r="K13" s="28" t="s">
        <v>16</v>
      </c>
    </row>
    <row r="14" spans="1:11" ht="15" customHeight="1">
      <c r="A14" s="22"/>
      <c r="B14" s="23"/>
      <c r="C14" s="23" t="s">
        <v>24</v>
      </c>
      <c r="D14" s="24">
        <v>2</v>
      </c>
      <c r="E14" s="24"/>
      <c r="F14" s="25">
        <f t="shared" si="2"/>
        <v>2</v>
      </c>
      <c r="G14" s="26">
        <v>14.3</v>
      </c>
      <c r="H14" s="26">
        <f t="shared" si="1"/>
        <v>28.6</v>
      </c>
      <c r="I14" s="27"/>
      <c r="J14" s="27"/>
      <c r="K14" s="28" t="s">
        <v>16</v>
      </c>
    </row>
    <row r="15" spans="1:11" ht="13.5" customHeight="1">
      <c r="A15" s="22"/>
      <c r="B15" s="23"/>
      <c r="C15" s="29" t="s">
        <v>25</v>
      </c>
      <c r="D15" s="24">
        <v>6</v>
      </c>
      <c r="E15" s="24"/>
      <c r="F15" s="25">
        <f t="shared" si="2"/>
        <v>6</v>
      </c>
      <c r="G15" s="26">
        <v>21.4</v>
      </c>
      <c r="H15" s="26">
        <f t="shared" si="1"/>
        <v>128.39999999999998</v>
      </c>
      <c r="I15" s="27"/>
      <c r="J15" s="27"/>
      <c r="K15" s="28" t="s">
        <v>16</v>
      </c>
    </row>
    <row r="16" spans="1:11" ht="15.75" customHeight="1">
      <c r="A16" s="22"/>
      <c r="B16" s="23"/>
      <c r="C16" s="29" t="s">
        <v>23</v>
      </c>
      <c r="D16" s="24">
        <v>2</v>
      </c>
      <c r="E16" s="24"/>
      <c r="F16" s="25">
        <f t="shared" si="2"/>
        <v>2</v>
      </c>
      <c r="G16" s="26">
        <v>17.8</v>
      </c>
      <c r="H16" s="26">
        <f t="shared" si="1"/>
        <v>35.6</v>
      </c>
      <c r="I16" s="27"/>
      <c r="J16" s="27"/>
      <c r="K16" s="28" t="s">
        <v>16</v>
      </c>
    </row>
    <row r="17" spans="1:11" ht="15" customHeight="1">
      <c r="A17" s="22"/>
      <c r="B17" s="23"/>
      <c r="C17" s="30" t="s">
        <v>20</v>
      </c>
      <c r="D17" s="24">
        <v>1</v>
      </c>
      <c r="E17" s="24"/>
      <c r="F17" s="25">
        <f t="shared" si="2"/>
        <v>1</v>
      </c>
      <c r="G17" s="26">
        <v>14.3</v>
      </c>
      <c r="H17" s="26">
        <f t="shared" si="1"/>
        <v>14.3</v>
      </c>
      <c r="I17" s="27"/>
      <c r="J17" s="27"/>
      <c r="K17" s="28" t="s">
        <v>16</v>
      </c>
    </row>
    <row r="18" spans="1:11" ht="33.75" customHeight="1">
      <c r="A18" s="31" t="s">
        <v>26</v>
      </c>
      <c r="B18" s="29"/>
      <c r="C18" s="23" t="s">
        <v>27</v>
      </c>
      <c r="D18" s="24">
        <v>1</v>
      </c>
      <c r="E18" s="24"/>
      <c r="F18" s="25">
        <f t="shared" si="2"/>
        <v>1</v>
      </c>
      <c r="G18" s="26">
        <v>21.4</v>
      </c>
      <c r="H18" s="26">
        <f t="shared" si="1"/>
        <v>21.4</v>
      </c>
      <c r="I18" s="27"/>
      <c r="J18" s="27"/>
      <c r="K18" s="28" t="s">
        <v>16</v>
      </c>
    </row>
    <row r="19" spans="1:11" ht="15.75" customHeight="1">
      <c r="A19" s="32" t="s">
        <v>28</v>
      </c>
      <c r="B19" s="33"/>
      <c r="C19" s="2" t="s">
        <v>20</v>
      </c>
      <c r="D19" s="24"/>
      <c r="E19" s="24"/>
      <c r="F19" s="25">
        <v>1</v>
      </c>
      <c r="G19" s="26">
        <v>14.3</v>
      </c>
      <c r="H19" s="26">
        <f t="shared" si="1"/>
        <v>14.3</v>
      </c>
      <c r="I19" s="27"/>
      <c r="J19" s="27"/>
      <c r="K19" s="28" t="s">
        <v>16</v>
      </c>
    </row>
    <row r="20" spans="1:11" ht="15" customHeight="1">
      <c r="A20" s="34" t="s">
        <v>29</v>
      </c>
      <c r="B20" s="35"/>
      <c r="C20" s="36" t="s">
        <v>30</v>
      </c>
      <c r="D20" s="24">
        <v>1</v>
      </c>
      <c r="E20" s="24"/>
      <c r="F20" s="29">
        <v>2</v>
      </c>
      <c r="G20" s="26">
        <v>17.8</v>
      </c>
      <c r="H20" s="26">
        <f t="shared" si="1"/>
        <v>35.6</v>
      </c>
      <c r="I20" s="27"/>
      <c r="J20" s="27"/>
      <c r="K20" s="28" t="s">
        <v>16</v>
      </c>
    </row>
    <row r="21" spans="1:11" ht="15" customHeight="1">
      <c r="A21" s="37" t="s">
        <v>31</v>
      </c>
      <c r="B21" s="27"/>
      <c r="C21" s="29" t="s">
        <v>32</v>
      </c>
      <c r="D21" s="24">
        <v>1</v>
      </c>
      <c r="E21" s="24"/>
      <c r="F21" s="29">
        <f>SUM(D21:E21)</f>
        <v>1</v>
      </c>
      <c r="G21" s="26">
        <v>57.1</v>
      </c>
      <c r="H21" s="26">
        <f t="shared" si="1"/>
        <v>57.1</v>
      </c>
      <c r="I21" s="27"/>
      <c r="J21" s="27"/>
      <c r="K21" s="28" t="s">
        <v>16</v>
      </c>
    </row>
    <row r="22" spans="1:11" ht="15.75" customHeight="1">
      <c r="A22" s="37" t="s">
        <v>33</v>
      </c>
      <c r="B22" s="27"/>
      <c r="C22" s="36"/>
      <c r="D22" s="24">
        <v>1</v>
      </c>
      <c r="E22" s="24"/>
      <c r="F22" s="29">
        <v>1</v>
      </c>
      <c r="G22" s="26">
        <v>14.3</v>
      </c>
      <c r="H22" s="26">
        <f t="shared" si="1"/>
        <v>14.3</v>
      </c>
      <c r="I22" s="27"/>
      <c r="J22" s="27"/>
      <c r="K22" s="28" t="s">
        <v>16</v>
      </c>
    </row>
    <row r="23" spans="1:22" s="5" customFormat="1" ht="45" customHeight="1">
      <c r="A23" s="38" t="s">
        <v>34</v>
      </c>
      <c r="B23" s="39"/>
      <c r="C23" s="40"/>
      <c r="D23" s="41">
        <v>1</v>
      </c>
      <c r="E23" s="41"/>
      <c r="F23" s="42">
        <v>5</v>
      </c>
      <c r="G23" s="43">
        <v>114</v>
      </c>
      <c r="H23" s="26">
        <f t="shared" si="1"/>
        <v>570</v>
      </c>
      <c r="I23" s="44"/>
      <c r="J23" s="44"/>
      <c r="K23" s="44"/>
      <c r="L23" s="6"/>
      <c r="V23" s="1"/>
    </row>
    <row r="24" spans="1:22" s="5" customFormat="1" ht="45" customHeight="1">
      <c r="A24" s="38"/>
      <c r="B24" s="38"/>
      <c r="C24" s="45"/>
      <c r="D24" s="46"/>
      <c r="E24" s="46"/>
      <c r="F24" s="47">
        <v>106</v>
      </c>
      <c r="G24" s="48"/>
      <c r="H24" s="49">
        <f>SUM(H7:H23)</f>
        <v>2742.7999999999997</v>
      </c>
      <c r="I24" s="27"/>
      <c r="J24" s="27"/>
      <c r="K24" s="27"/>
      <c r="L24" s="6"/>
      <c r="V24" s="1"/>
    </row>
    <row r="25" spans="1:12" s="5" customFormat="1" ht="25.5" customHeight="1">
      <c r="A25" s="50"/>
      <c r="B25" s="51" t="s">
        <v>35</v>
      </c>
      <c r="C25" s="52"/>
      <c r="D25" s="52"/>
      <c r="E25" s="52"/>
      <c r="F25" s="52"/>
      <c r="G25" s="52"/>
      <c r="H25" s="52"/>
      <c r="I25" s="52"/>
      <c r="J25" s="52"/>
      <c r="K25" s="53"/>
      <c r="L25" s="6"/>
    </row>
    <row r="26" spans="1:22" s="5" customFormat="1" ht="21" customHeight="1">
      <c r="A26" s="54"/>
      <c r="B26" s="52"/>
      <c r="C26" s="55" t="s">
        <v>6</v>
      </c>
      <c r="D26" s="55"/>
      <c r="E26" s="55"/>
      <c r="F26" s="55"/>
      <c r="G26" s="18" t="s">
        <v>8</v>
      </c>
      <c r="H26" s="18" t="s">
        <v>9</v>
      </c>
      <c r="K26" s="18" t="s">
        <v>10</v>
      </c>
      <c r="L26" s="6"/>
      <c r="V26" s="1"/>
    </row>
    <row r="27" spans="1:22" s="5" customFormat="1" ht="12.75">
      <c r="A27" s="56" t="s">
        <v>36</v>
      </c>
      <c r="B27" s="57" t="s">
        <v>37</v>
      </c>
      <c r="C27" s="57" t="s">
        <v>38</v>
      </c>
      <c r="D27" s="57"/>
      <c r="E27" s="57" t="s">
        <v>39</v>
      </c>
      <c r="F27" s="58" t="s">
        <v>40</v>
      </c>
      <c r="G27" s="18"/>
      <c r="H27" s="18"/>
      <c r="K27" s="18"/>
      <c r="L27" s="6"/>
      <c r="V27" s="1"/>
    </row>
    <row r="28" spans="1:11" ht="25.5">
      <c r="A28" s="56"/>
      <c r="B28" s="59" t="s">
        <v>41</v>
      </c>
      <c r="C28" s="36" t="s">
        <v>41</v>
      </c>
      <c r="D28" s="36" t="s">
        <v>12</v>
      </c>
      <c r="E28" s="29"/>
      <c r="F28" s="60"/>
      <c r="G28" s="18"/>
      <c r="H28" s="18"/>
      <c r="K28" s="18"/>
    </row>
    <row r="29" spans="1:22" s="5" customFormat="1" ht="12.75">
      <c r="A29" s="37" t="s">
        <v>42</v>
      </c>
      <c r="B29" s="27">
        <v>52</v>
      </c>
      <c r="C29" s="24">
        <v>35</v>
      </c>
      <c r="D29" s="24">
        <v>7</v>
      </c>
      <c r="E29" s="24"/>
      <c r="F29" s="25">
        <f>B29+C29+D29</f>
        <v>94</v>
      </c>
      <c r="G29" s="26">
        <v>17.8</v>
      </c>
      <c r="H29" s="26">
        <f aca="true" t="shared" si="3" ref="H29:H35">G29*F29</f>
        <v>1673.2</v>
      </c>
      <c r="I29" s="27"/>
      <c r="J29" s="27"/>
      <c r="K29" s="28" t="s">
        <v>16</v>
      </c>
      <c r="L29" s="6"/>
      <c r="V29" s="1"/>
    </row>
    <row r="30" spans="1:22" s="5" customFormat="1" ht="15" customHeight="1">
      <c r="A30" s="37" t="s">
        <v>43</v>
      </c>
      <c r="B30" s="27">
        <v>0</v>
      </c>
      <c r="C30" s="24">
        <v>7</v>
      </c>
      <c r="D30" s="24"/>
      <c r="E30" s="24"/>
      <c r="F30" s="25">
        <v>7</v>
      </c>
      <c r="G30" s="26">
        <v>21.4</v>
      </c>
      <c r="H30" s="26">
        <f t="shared" si="3"/>
        <v>149.79999999999998</v>
      </c>
      <c r="I30" s="27"/>
      <c r="J30" s="27"/>
      <c r="K30" s="28" t="s">
        <v>16</v>
      </c>
      <c r="L30" s="6"/>
      <c r="V30" s="1"/>
    </row>
    <row r="31" spans="1:22" s="5" customFormat="1" ht="15.75" customHeight="1">
      <c r="A31" s="37" t="s">
        <v>44</v>
      </c>
      <c r="B31" s="27"/>
      <c r="C31" s="24"/>
      <c r="D31" s="24"/>
      <c r="E31" s="24">
        <v>1</v>
      </c>
      <c r="F31" s="25">
        <v>1</v>
      </c>
      <c r="G31" s="26">
        <v>28.5</v>
      </c>
      <c r="H31" s="26">
        <f t="shared" si="3"/>
        <v>28.5</v>
      </c>
      <c r="I31" s="27"/>
      <c r="J31" s="27"/>
      <c r="K31" s="28" t="s">
        <v>16</v>
      </c>
      <c r="L31" s="6"/>
      <c r="V31" s="1"/>
    </row>
    <row r="32" spans="1:22" s="5" customFormat="1" ht="15.75" customHeight="1">
      <c r="A32" s="37" t="s">
        <v>45</v>
      </c>
      <c r="B32" s="27">
        <v>1</v>
      </c>
      <c r="C32" s="24">
        <v>4</v>
      </c>
      <c r="D32" s="24"/>
      <c r="E32" s="24"/>
      <c r="F32" s="25">
        <v>5</v>
      </c>
      <c r="G32" s="26">
        <v>32</v>
      </c>
      <c r="H32" s="26">
        <f t="shared" si="3"/>
        <v>160</v>
      </c>
      <c r="I32" s="27"/>
      <c r="J32" s="27"/>
      <c r="K32" s="28" t="s">
        <v>16</v>
      </c>
      <c r="L32" s="6"/>
      <c r="V32" s="1"/>
    </row>
    <row r="33" spans="1:22" s="5" customFormat="1" ht="15" customHeight="1">
      <c r="A33" s="37" t="s">
        <v>46</v>
      </c>
      <c r="B33" s="27">
        <v>11</v>
      </c>
      <c r="C33" s="24">
        <v>14</v>
      </c>
      <c r="D33" s="24"/>
      <c r="E33" s="24"/>
      <c r="F33" s="25">
        <v>25</v>
      </c>
      <c r="G33" s="26">
        <v>14.3</v>
      </c>
      <c r="H33" s="26">
        <f t="shared" si="3"/>
        <v>357.5</v>
      </c>
      <c r="I33" s="27"/>
      <c r="J33" s="27"/>
      <c r="K33" s="28" t="s">
        <v>16</v>
      </c>
      <c r="L33" s="6"/>
      <c r="V33" s="1"/>
    </row>
    <row r="34" spans="1:22" s="5" customFormat="1" ht="12.75">
      <c r="A34" s="37" t="s">
        <v>47</v>
      </c>
      <c r="B34" s="27">
        <v>3</v>
      </c>
      <c r="C34" s="24">
        <v>10</v>
      </c>
      <c r="D34" s="24"/>
      <c r="E34" s="24"/>
      <c r="F34" s="25">
        <v>13</v>
      </c>
      <c r="G34" s="26">
        <v>21.4</v>
      </c>
      <c r="H34" s="26">
        <f t="shared" si="3"/>
        <v>278.2</v>
      </c>
      <c r="I34" s="27"/>
      <c r="J34" s="27"/>
      <c r="K34" s="28" t="s">
        <v>16</v>
      </c>
      <c r="L34" s="6"/>
      <c r="V34" s="1"/>
    </row>
    <row r="35" spans="1:22" s="5" customFormat="1" ht="13.5">
      <c r="A35" s="27" t="s">
        <v>48</v>
      </c>
      <c r="B35" s="29"/>
      <c r="C35" s="27">
        <v>62</v>
      </c>
      <c r="D35" s="24">
        <v>1</v>
      </c>
      <c r="E35" s="24"/>
      <c r="F35" s="42">
        <v>63</v>
      </c>
      <c r="G35" s="26">
        <v>17.8</v>
      </c>
      <c r="H35" s="26">
        <f t="shared" si="3"/>
        <v>1121.4</v>
      </c>
      <c r="I35" s="27"/>
      <c r="J35" s="27"/>
      <c r="K35" s="28" t="s">
        <v>16</v>
      </c>
      <c r="L35" s="6"/>
      <c r="V35" s="1"/>
    </row>
    <row r="36" spans="1:22" s="5" customFormat="1" ht="15.75">
      <c r="A36" s="61"/>
      <c r="B36" s="62" t="s">
        <v>49</v>
      </c>
      <c r="C36" s="63"/>
      <c r="D36" s="46"/>
      <c r="E36" s="46"/>
      <c r="F36" s="47">
        <f>SUM(F29:F35)</f>
        <v>208</v>
      </c>
      <c r="G36" s="26"/>
      <c r="H36" s="49">
        <f>SUM(H29:H35)</f>
        <v>3768.6000000000004</v>
      </c>
      <c r="I36" s="27"/>
      <c r="J36" s="27"/>
      <c r="K36" s="27"/>
      <c r="L36" s="6"/>
      <c r="V36" s="1"/>
    </row>
    <row r="37" spans="1:22" s="5" customFormat="1" ht="15">
      <c r="A37" s="11"/>
      <c r="B37" s="64"/>
      <c r="C37" s="64"/>
      <c r="D37" s="65"/>
      <c r="E37" s="65"/>
      <c r="F37" s="64"/>
      <c r="G37" s="66"/>
      <c r="H37" s="67"/>
      <c r="L37" s="6"/>
      <c r="V37" s="1"/>
    </row>
    <row r="38" spans="1:22" s="5" customFormat="1" ht="15">
      <c r="A38" s="11"/>
      <c r="B38" s="64"/>
      <c r="C38" s="64"/>
      <c r="D38" s="65"/>
      <c r="E38" s="65"/>
      <c r="F38" s="64"/>
      <c r="G38" s="66"/>
      <c r="H38" s="67"/>
      <c r="L38" s="6"/>
      <c r="V38" s="1"/>
    </row>
    <row r="39" spans="1:22" s="5" customFormat="1" ht="15.75">
      <c r="A39" s="11"/>
      <c r="B39" s="64"/>
      <c r="C39" s="64"/>
      <c r="D39" s="64"/>
      <c r="E39" s="64"/>
      <c r="F39" s="64"/>
      <c r="G39" s="66"/>
      <c r="H39" s="67"/>
      <c r="L39" s="6"/>
      <c r="V39" s="1"/>
    </row>
    <row r="40" spans="1:22" s="5" customFormat="1" ht="16.5">
      <c r="A40" s="68" t="s">
        <v>50</v>
      </c>
      <c r="B40" s="69"/>
      <c r="C40" s="69"/>
      <c r="D40" s="69"/>
      <c r="E40" s="69"/>
      <c r="F40" s="69"/>
      <c r="G40" s="69"/>
      <c r="H40" s="69"/>
      <c r="I40" s="69"/>
      <c r="J40" s="69"/>
      <c r="K40" s="70"/>
      <c r="L40" s="6"/>
      <c r="V40" s="1"/>
    </row>
    <row r="41" spans="1:22" s="5" customFormat="1" ht="39">
      <c r="A41" s="71"/>
      <c r="B41" s="72" t="s">
        <v>51</v>
      </c>
      <c r="C41" s="73" t="s">
        <v>38</v>
      </c>
      <c r="D41" s="73"/>
      <c r="E41" s="73"/>
      <c r="F41" s="55" t="s">
        <v>52</v>
      </c>
      <c r="G41" s="18" t="s">
        <v>8</v>
      </c>
      <c r="H41" s="18" t="s">
        <v>9</v>
      </c>
      <c r="K41" s="18" t="s">
        <v>10</v>
      </c>
      <c r="L41" s="6"/>
      <c r="V41" s="1"/>
    </row>
    <row r="42" spans="1:22" s="5" customFormat="1" ht="13.5">
      <c r="A42" s="37" t="s">
        <v>53</v>
      </c>
      <c r="B42" s="27"/>
      <c r="C42" s="29"/>
      <c r="D42" s="27">
        <v>1</v>
      </c>
      <c r="E42" s="24"/>
      <c r="F42" s="42">
        <v>1</v>
      </c>
      <c r="G42" s="26">
        <v>14.3</v>
      </c>
      <c r="H42" s="43">
        <f>G42*F42</f>
        <v>14.3</v>
      </c>
      <c r="I42" s="27"/>
      <c r="J42" s="27"/>
      <c r="K42" s="28" t="s">
        <v>16</v>
      </c>
      <c r="L42" s="6"/>
      <c r="V42" s="1"/>
    </row>
    <row r="43" spans="1:22" s="5" customFormat="1" ht="15.75">
      <c r="A43" s="61"/>
      <c r="B43" s="62" t="s">
        <v>54</v>
      </c>
      <c r="C43" s="63"/>
      <c r="D43" s="46"/>
      <c r="E43" s="46"/>
      <c r="F43" s="74">
        <f>SUM(F42)</f>
        <v>1</v>
      </c>
      <c r="G43" s="26"/>
      <c r="H43" s="49">
        <f>SUM(H42:H42)</f>
        <v>14.3</v>
      </c>
      <c r="I43" s="27"/>
      <c r="J43" s="27"/>
      <c r="K43" s="27"/>
      <c r="L43" s="6"/>
      <c r="V43" s="1"/>
    </row>
    <row r="44" spans="1:22" s="5" customFormat="1" ht="13.5">
      <c r="A44" s="75"/>
      <c r="B44" s="75"/>
      <c r="C44" s="76"/>
      <c r="D44" s="44"/>
      <c r="E44" s="41"/>
      <c r="F44" s="77"/>
      <c r="G44" s="78"/>
      <c r="H44" s="78"/>
      <c r="I44" s="44"/>
      <c r="J44" s="44"/>
      <c r="K44" s="44"/>
      <c r="L44" s="6"/>
      <c r="V44" s="1"/>
    </row>
    <row r="45" spans="1:22" s="5" customFormat="1" ht="18.75">
      <c r="A45" s="79" t="s">
        <v>55</v>
      </c>
      <c r="B45" s="80"/>
      <c r="C45" s="80"/>
      <c r="D45" s="80"/>
      <c r="E45" s="80"/>
      <c r="F45" s="80"/>
      <c r="G45" s="80"/>
      <c r="H45" s="80"/>
      <c r="I45" s="80"/>
      <c r="J45" s="80"/>
      <c r="K45" s="81"/>
      <c r="L45" s="6"/>
      <c r="V45" s="1"/>
    </row>
    <row r="46" spans="1:22" s="5" customFormat="1" ht="24.75" customHeight="1">
      <c r="A46" s="82" t="s">
        <v>4</v>
      </c>
      <c r="B46" s="83" t="s">
        <v>56</v>
      </c>
      <c r="C46" s="84" t="s">
        <v>57</v>
      </c>
      <c r="D46" s="84"/>
      <c r="E46" s="85" t="s">
        <v>58</v>
      </c>
      <c r="F46" s="86" t="s">
        <v>40</v>
      </c>
      <c r="G46" s="18" t="s">
        <v>8</v>
      </c>
      <c r="H46" s="18" t="s">
        <v>9</v>
      </c>
      <c r="K46" s="18" t="s">
        <v>10</v>
      </c>
      <c r="L46" s="6"/>
      <c r="V46" s="1"/>
    </row>
    <row r="47" spans="1:22" s="5" customFormat="1" ht="14.25" customHeight="1">
      <c r="A47" s="87"/>
      <c r="B47" s="88" t="s">
        <v>59</v>
      </c>
      <c r="C47" s="88" t="s">
        <v>59</v>
      </c>
      <c r="D47" s="88" t="s">
        <v>60</v>
      </c>
      <c r="E47" s="89" t="s">
        <v>61</v>
      </c>
      <c r="F47" s="60"/>
      <c r="G47" s="18"/>
      <c r="H47" s="18"/>
      <c r="K47" s="18"/>
      <c r="L47" s="6"/>
      <c r="V47" s="1"/>
    </row>
    <row r="48" spans="1:22" s="5" customFormat="1" ht="40.5" customHeight="1">
      <c r="A48" s="27" t="s">
        <v>62</v>
      </c>
      <c r="B48" s="27">
        <v>21</v>
      </c>
      <c r="C48" s="24"/>
      <c r="D48" s="24"/>
      <c r="E48" s="27"/>
      <c r="F48" s="29">
        <f aca="true" t="shared" si="4" ref="F48:F54">B48+C48+D48+E48</f>
        <v>21</v>
      </c>
      <c r="G48" s="26">
        <v>10.7</v>
      </c>
      <c r="H48" s="26">
        <f aca="true" t="shared" si="5" ref="H48:H54">G48*F48</f>
        <v>224.7</v>
      </c>
      <c r="I48" s="27"/>
      <c r="J48" s="27"/>
      <c r="K48" s="28" t="s">
        <v>16</v>
      </c>
      <c r="L48" s="6"/>
      <c r="V48" s="1"/>
    </row>
    <row r="49" spans="1:22" s="5" customFormat="1" ht="15" customHeight="1">
      <c r="A49" s="27" t="s">
        <v>62</v>
      </c>
      <c r="B49" s="27"/>
      <c r="C49" s="24">
        <v>16</v>
      </c>
      <c r="D49" s="24"/>
      <c r="E49" s="27"/>
      <c r="F49" s="29">
        <f t="shared" si="4"/>
        <v>16</v>
      </c>
      <c r="G49" s="26">
        <v>25</v>
      </c>
      <c r="H49" s="26">
        <f t="shared" si="5"/>
        <v>400</v>
      </c>
      <c r="I49" s="27"/>
      <c r="J49" s="27"/>
      <c r="K49" s="28" t="s">
        <v>16</v>
      </c>
      <c r="L49" s="6"/>
      <c r="V49" s="1"/>
    </row>
    <row r="50" spans="1:22" s="5" customFormat="1" ht="15" customHeight="1">
      <c r="A50" s="27" t="s">
        <v>63</v>
      </c>
      <c r="B50" s="27"/>
      <c r="C50" s="24">
        <v>8</v>
      </c>
      <c r="D50" s="24"/>
      <c r="E50" s="27"/>
      <c r="F50" s="29">
        <f t="shared" si="4"/>
        <v>8</v>
      </c>
      <c r="G50" s="26">
        <v>28.5</v>
      </c>
      <c r="H50" s="26">
        <f t="shared" si="5"/>
        <v>228</v>
      </c>
      <c r="I50" s="27"/>
      <c r="J50" s="27"/>
      <c r="K50" s="28" t="s">
        <v>16</v>
      </c>
      <c r="L50" s="6"/>
      <c r="V50" s="1"/>
    </row>
    <row r="51" spans="1:22" s="5" customFormat="1" ht="12.75">
      <c r="A51" s="27" t="s">
        <v>64</v>
      </c>
      <c r="B51" s="27"/>
      <c r="C51" s="24"/>
      <c r="D51" s="24">
        <v>29</v>
      </c>
      <c r="E51" s="27"/>
      <c r="F51" s="29">
        <f t="shared" si="4"/>
        <v>29</v>
      </c>
      <c r="G51" s="26">
        <v>25</v>
      </c>
      <c r="H51" s="26">
        <f t="shared" si="5"/>
        <v>725</v>
      </c>
      <c r="I51" s="27"/>
      <c r="J51" s="27"/>
      <c r="K51" s="28" t="s">
        <v>16</v>
      </c>
      <c r="L51" s="6"/>
      <c r="V51" s="1"/>
    </row>
    <row r="52" spans="1:22" s="5" customFormat="1" ht="12.75">
      <c r="A52" s="27" t="s">
        <v>64</v>
      </c>
      <c r="B52" s="27"/>
      <c r="C52" s="24">
        <v>6</v>
      </c>
      <c r="D52" s="24"/>
      <c r="E52" s="27"/>
      <c r="F52" s="29">
        <f t="shared" si="4"/>
        <v>6</v>
      </c>
      <c r="G52" s="26">
        <v>25</v>
      </c>
      <c r="H52" s="26">
        <f t="shared" si="5"/>
        <v>150</v>
      </c>
      <c r="I52" s="27"/>
      <c r="J52" s="27"/>
      <c r="K52" s="28" t="s">
        <v>16</v>
      </c>
      <c r="L52" s="6"/>
      <c r="V52" s="1"/>
    </row>
    <row r="53" spans="1:22" s="5" customFormat="1" ht="12.75">
      <c r="A53" s="27" t="s">
        <v>65</v>
      </c>
      <c r="B53" s="27"/>
      <c r="C53" s="24">
        <v>14</v>
      </c>
      <c r="D53" s="24"/>
      <c r="E53" s="27"/>
      <c r="F53" s="29">
        <f t="shared" si="4"/>
        <v>14</v>
      </c>
      <c r="G53" s="26">
        <v>25</v>
      </c>
      <c r="H53" s="26">
        <f t="shared" si="5"/>
        <v>350</v>
      </c>
      <c r="I53" s="27"/>
      <c r="J53" s="27"/>
      <c r="K53" s="28" t="s">
        <v>16</v>
      </c>
      <c r="L53" s="6"/>
      <c r="V53" s="1"/>
    </row>
    <row r="54" spans="1:22" s="5" customFormat="1" ht="15" customHeight="1">
      <c r="A54" s="27" t="s">
        <v>66</v>
      </c>
      <c r="B54" s="27"/>
      <c r="C54" s="24"/>
      <c r="D54" s="24">
        <v>2</v>
      </c>
      <c r="E54" s="27"/>
      <c r="F54" s="42">
        <f t="shared" si="4"/>
        <v>2</v>
      </c>
      <c r="G54" s="26">
        <v>21.4</v>
      </c>
      <c r="H54" s="26">
        <f t="shared" si="5"/>
        <v>42.8</v>
      </c>
      <c r="I54" s="27"/>
      <c r="J54" s="27"/>
      <c r="K54" s="28" t="s">
        <v>16</v>
      </c>
      <c r="L54" s="6"/>
      <c r="V54" s="1"/>
    </row>
    <row r="55" spans="1:22" s="5" customFormat="1" ht="15" customHeight="1">
      <c r="A55" s="61"/>
      <c r="B55" s="62" t="s">
        <v>67</v>
      </c>
      <c r="C55" s="63"/>
      <c r="D55" s="46"/>
      <c r="E55" s="46"/>
      <c r="F55" s="47">
        <f>SUM(F48:F54)</f>
        <v>96</v>
      </c>
      <c r="G55" s="26"/>
      <c r="H55" s="49">
        <f>SUM(H48:H54)</f>
        <v>2120.5</v>
      </c>
      <c r="I55" s="27"/>
      <c r="J55" s="27"/>
      <c r="K55" s="27"/>
      <c r="L55" s="6"/>
      <c r="V55" s="1"/>
    </row>
    <row r="56" spans="1:22" s="5" customFormat="1" ht="15" customHeight="1">
      <c r="A56" s="11"/>
      <c r="C56" s="4"/>
      <c r="D56" s="4"/>
      <c r="F56" s="90"/>
      <c r="G56" s="66"/>
      <c r="H56" s="66"/>
      <c r="L56" s="6"/>
      <c r="V56" s="1"/>
    </row>
    <row r="57" spans="1:22" s="5" customFormat="1" ht="18" customHeight="1">
      <c r="A57" s="79" t="s">
        <v>68</v>
      </c>
      <c r="B57" s="80"/>
      <c r="C57" s="80"/>
      <c r="D57" s="80"/>
      <c r="E57" s="80"/>
      <c r="F57" s="80"/>
      <c r="G57" s="80"/>
      <c r="H57" s="80"/>
      <c r="I57" s="80"/>
      <c r="J57" s="80"/>
      <c r="K57" s="81"/>
      <c r="L57" s="6"/>
      <c r="V57" s="1"/>
    </row>
    <row r="58" spans="1:22" s="5" customFormat="1" ht="25.5" customHeight="1">
      <c r="A58" s="56" t="s">
        <v>4</v>
      </c>
      <c r="B58" s="83"/>
      <c r="C58" s="83" t="s">
        <v>69</v>
      </c>
      <c r="D58" s="83"/>
      <c r="E58" s="83"/>
      <c r="F58" s="86" t="s">
        <v>40</v>
      </c>
      <c r="G58" s="18" t="s">
        <v>8</v>
      </c>
      <c r="H58" s="18" t="s">
        <v>9</v>
      </c>
      <c r="K58" s="18" t="s">
        <v>10</v>
      </c>
      <c r="L58" s="6"/>
      <c r="V58" s="1"/>
    </row>
    <row r="59" spans="1:22" s="5" customFormat="1" ht="12.75">
      <c r="A59" s="56"/>
      <c r="B59" s="83"/>
      <c r="C59" s="57" t="s">
        <v>70</v>
      </c>
      <c r="D59" s="57" t="s">
        <v>60</v>
      </c>
      <c r="E59" s="57" t="s">
        <v>71</v>
      </c>
      <c r="F59" s="58"/>
      <c r="G59" s="18"/>
      <c r="H59" s="18"/>
      <c r="K59" s="18"/>
      <c r="L59" s="6"/>
      <c r="V59" s="1"/>
    </row>
    <row r="60" spans="1:22" s="5" customFormat="1" ht="44.25" customHeight="1">
      <c r="A60" s="37" t="s">
        <v>72</v>
      </c>
      <c r="B60" s="27"/>
      <c r="C60" s="24"/>
      <c r="D60" s="24"/>
      <c r="E60" s="24">
        <v>1</v>
      </c>
      <c r="F60" s="25">
        <f aca="true" t="shared" si="6" ref="F60:F63">C60+D60+E60</f>
        <v>1</v>
      </c>
      <c r="G60" s="26">
        <v>57</v>
      </c>
      <c r="H60" s="26">
        <f aca="true" t="shared" si="7" ref="H60:H63">G60*F60</f>
        <v>57</v>
      </c>
      <c r="I60" s="27"/>
      <c r="J60" s="27"/>
      <c r="K60" s="28" t="s">
        <v>16</v>
      </c>
      <c r="L60" s="6"/>
      <c r="V60" s="1"/>
    </row>
    <row r="61" spans="1:22" s="5" customFormat="1" ht="15" customHeight="1">
      <c r="A61" s="37" t="s">
        <v>73</v>
      </c>
      <c r="B61" s="27"/>
      <c r="C61" s="24">
        <v>1</v>
      </c>
      <c r="D61" s="24"/>
      <c r="E61" s="24"/>
      <c r="F61" s="25">
        <f t="shared" si="6"/>
        <v>1</v>
      </c>
      <c r="G61" s="26">
        <v>85</v>
      </c>
      <c r="H61" s="26">
        <f t="shared" si="7"/>
        <v>85</v>
      </c>
      <c r="I61" s="27"/>
      <c r="J61" s="27"/>
      <c r="K61" s="28" t="s">
        <v>16</v>
      </c>
      <c r="L61" s="6"/>
      <c r="V61" s="1"/>
    </row>
    <row r="62" spans="1:22" s="5" customFormat="1" ht="15.75" customHeight="1">
      <c r="A62" s="91" t="s">
        <v>74</v>
      </c>
      <c r="B62" s="27"/>
      <c r="C62" s="24"/>
      <c r="D62" s="24"/>
      <c r="E62" s="24">
        <v>1</v>
      </c>
      <c r="F62" s="25">
        <f t="shared" si="6"/>
        <v>1</v>
      </c>
      <c r="G62" s="26">
        <v>85</v>
      </c>
      <c r="H62" s="26">
        <f t="shared" si="7"/>
        <v>85</v>
      </c>
      <c r="I62" s="27"/>
      <c r="J62" s="27"/>
      <c r="K62" s="28" t="s">
        <v>16</v>
      </c>
      <c r="L62" s="6"/>
      <c r="V62" s="1"/>
    </row>
    <row r="63" spans="1:22" s="5" customFormat="1" ht="15.75" customHeight="1">
      <c r="A63" s="92" t="s">
        <v>75</v>
      </c>
      <c r="B63" s="44"/>
      <c r="C63" s="41"/>
      <c r="D63" s="41">
        <v>5</v>
      </c>
      <c r="E63" s="41"/>
      <c r="F63" s="42">
        <f t="shared" si="6"/>
        <v>5</v>
      </c>
      <c r="G63" s="78">
        <v>125</v>
      </c>
      <c r="H63" s="26">
        <f t="shared" si="7"/>
        <v>625</v>
      </c>
      <c r="I63" s="44"/>
      <c r="J63" s="44"/>
      <c r="K63" s="93" t="s">
        <v>16</v>
      </c>
      <c r="L63" s="6"/>
      <c r="V63" s="1"/>
    </row>
    <row r="64" spans="1:22" s="5" customFormat="1" ht="18" customHeight="1">
      <c r="A64" s="50"/>
      <c r="B64" s="62" t="s">
        <v>76</v>
      </c>
      <c r="C64" s="63"/>
      <c r="D64" s="46"/>
      <c r="E64" s="46"/>
      <c r="F64" s="47">
        <f>SUM(F60:F63)</f>
        <v>8</v>
      </c>
      <c r="G64" s="26"/>
      <c r="H64" s="49">
        <f>SUM(H60:H63)</f>
        <v>852</v>
      </c>
      <c r="I64" s="27"/>
      <c r="J64" s="27"/>
      <c r="K64" s="27"/>
      <c r="L64" s="6"/>
      <c r="V64" s="1"/>
    </row>
    <row r="65" spans="1:22" s="5" customFormat="1" ht="18" customHeight="1">
      <c r="A65" s="94"/>
      <c r="C65" s="4"/>
      <c r="D65" s="4"/>
      <c r="E65" s="4"/>
      <c r="F65" s="95"/>
      <c r="G65" s="66"/>
      <c r="H65" s="66"/>
      <c r="L65" s="6"/>
      <c r="V65" s="1"/>
    </row>
    <row r="66" spans="1:22" s="5" customFormat="1" ht="18" customHeight="1">
      <c r="A66" s="79" t="s">
        <v>77</v>
      </c>
      <c r="B66" s="80"/>
      <c r="C66" s="80"/>
      <c r="D66" s="80"/>
      <c r="E66" s="80"/>
      <c r="F66" s="80"/>
      <c r="G66" s="80"/>
      <c r="H66" s="80"/>
      <c r="I66" s="80"/>
      <c r="J66" s="80"/>
      <c r="K66" s="81"/>
      <c r="L66" s="6"/>
      <c r="V66" s="1"/>
    </row>
    <row r="67" spans="1:11" ht="39.75" customHeight="1">
      <c r="A67" s="96" t="s">
        <v>4</v>
      </c>
      <c r="B67" s="83"/>
      <c r="C67" s="73"/>
      <c r="D67" s="73"/>
      <c r="E67" s="73"/>
      <c r="F67" s="97" t="s">
        <v>7</v>
      </c>
      <c r="G67" s="18" t="s">
        <v>8</v>
      </c>
      <c r="H67" s="18" t="s">
        <v>9</v>
      </c>
      <c r="K67" s="18" t="s">
        <v>10</v>
      </c>
    </row>
    <row r="68" spans="1:11" ht="53.25" customHeight="1">
      <c r="A68" s="98" t="s">
        <v>78</v>
      </c>
      <c r="B68" s="27"/>
      <c r="C68" s="24"/>
      <c r="D68" s="24"/>
      <c r="E68" s="24"/>
      <c r="F68" s="25">
        <v>11</v>
      </c>
      <c r="G68" s="26">
        <v>42</v>
      </c>
      <c r="H68" s="26">
        <f aca="true" t="shared" si="8" ref="H68:H75">G68*F68</f>
        <v>462</v>
      </c>
      <c r="I68" s="27"/>
      <c r="J68" s="27"/>
      <c r="K68" s="28" t="s">
        <v>16</v>
      </c>
    </row>
    <row r="69" spans="1:11" ht="43.5" customHeight="1">
      <c r="A69" s="99" t="s">
        <v>79</v>
      </c>
      <c r="B69" s="27"/>
      <c r="C69" s="24"/>
      <c r="D69" s="24"/>
      <c r="E69" s="24"/>
      <c r="F69" s="25">
        <v>20</v>
      </c>
      <c r="G69" s="26">
        <v>32</v>
      </c>
      <c r="H69" s="26">
        <f t="shared" si="8"/>
        <v>640</v>
      </c>
      <c r="I69" s="27"/>
      <c r="J69" s="27"/>
      <c r="K69" s="28" t="s">
        <v>16</v>
      </c>
    </row>
    <row r="70" spans="1:11" ht="46.5" customHeight="1">
      <c r="A70" s="100" t="s">
        <v>80</v>
      </c>
      <c r="B70" s="27"/>
      <c r="C70" s="24"/>
      <c r="D70" s="24"/>
      <c r="E70" s="24"/>
      <c r="F70" s="25">
        <v>4</v>
      </c>
      <c r="G70" s="26">
        <v>25</v>
      </c>
      <c r="H70" s="26">
        <f t="shared" si="8"/>
        <v>100</v>
      </c>
      <c r="I70" s="27"/>
      <c r="J70" s="27"/>
      <c r="K70" s="28" t="s">
        <v>16</v>
      </c>
    </row>
    <row r="71" spans="1:11" ht="20.25" customHeight="1">
      <c r="A71" s="100" t="s">
        <v>81</v>
      </c>
      <c r="B71" s="27"/>
      <c r="C71" s="24"/>
      <c r="D71" s="24"/>
      <c r="E71" s="24"/>
      <c r="F71" s="25">
        <v>1</v>
      </c>
      <c r="G71" s="26">
        <v>14.3</v>
      </c>
      <c r="H71" s="26">
        <f t="shared" si="8"/>
        <v>14.3</v>
      </c>
      <c r="I71" s="27"/>
      <c r="J71" s="27"/>
      <c r="K71" s="28" t="s">
        <v>16</v>
      </c>
    </row>
    <row r="72" spans="1:11" ht="20.25" customHeight="1">
      <c r="A72" s="27" t="s">
        <v>82</v>
      </c>
      <c r="B72" s="101"/>
      <c r="C72" s="102"/>
      <c r="D72" s="102"/>
      <c r="E72" s="102"/>
      <c r="F72" s="103">
        <v>2</v>
      </c>
      <c r="G72" s="26">
        <v>200</v>
      </c>
      <c r="H72" s="78">
        <f t="shared" si="8"/>
        <v>400</v>
      </c>
      <c r="I72" s="27"/>
      <c r="J72" s="27"/>
      <c r="K72" s="28" t="s">
        <v>83</v>
      </c>
    </row>
    <row r="73" spans="1:11" ht="20.25" customHeight="1">
      <c r="A73" s="27" t="s">
        <v>84</v>
      </c>
      <c r="B73" s="101"/>
      <c r="C73" s="102"/>
      <c r="D73" s="102"/>
      <c r="E73" s="102"/>
      <c r="F73" s="104">
        <v>1</v>
      </c>
      <c r="G73" s="26">
        <v>100</v>
      </c>
      <c r="H73" s="78">
        <f t="shared" si="8"/>
        <v>100</v>
      </c>
      <c r="I73" s="27"/>
      <c r="J73" s="27"/>
      <c r="K73" s="28" t="s">
        <v>83</v>
      </c>
    </row>
    <row r="74" spans="1:11" ht="20.25" customHeight="1">
      <c r="A74" s="27" t="s">
        <v>85</v>
      </c>
      <c r="B74" s="101"/>
      <c r="C74" s="102"/>
      <c r="D74" s="102"/>
      <c r="E74" s="102"/>
      <c r="F74" s="104">
        <v>1</v>
      </c>
      <c r="G74" s="26">
        <v>100</v>
      </c>
      <c r="H74" s="78">
        <f t="shared" si="8"/>
        <v>100</v>
      </c>
      <c r="I74" s="27"/>
      <c r="J74" s="27"/>
      <c r="K74" s="28" t="s">
        <v>83</v>
      </c>
    </row>
    <row r="75" spans="1:11" ht="20.25" customHeight="1">
      <c r="A75" s="27" t="s">
        <v>86</v>
      </c>
      <c r="B75" s="101"/>
      <c r="C75" s="102"/>
      <c r="D75" s="102"/>
      <c r="E75" s="102"/>
      <c r="F75" s="104">
        <v>1</v>
      </c>
      <c r="G75" s="26">
        <v>140</v>
      </c>
      <c r="H75" s="26">
        <f t="shared" si="8"/>
        <v>140</v>
      </c>
      <c r="I75" s="27"/>
      <c r="J75" s="27"/>
      <c r="K75" s="28" t="s">
        <v>83</v>
      </c>
    </row>
    <row r="76" spans="1:22" s="5" customFormat="1" ht="19.5" customHeight="1">
      <c r="A76" s="27"/>
      <c r="B76" s="45" t="s">
        <v>87</v>
      </c>
      <c r="C76" s="45"/>
      <c r="D76" s="45"/>
      <c r="E76" s="45"/>
      <c r="F76" s="45"/>
      <c r="G76" s="26"/>
      <c r="H76" s="49">
        <f>SUM(H68:H75)</f>
        <v>1956.3</v>
      </c>
      <c r="I76" s="27"/>
      <c r="J76" s="27"/>
      <c r="K76" s="27"/>
      <c r="L76" s="6"/>
      <c r="V76" s="1"/>
    </row>
    <row r="77" spans="1:22" s="5" customFormat="1" ht="19.5" customHeight="1">
      <c r="A77" s="105" t="s">
        <v>88</v>
      </c>
      <c r="B77" s="106"/>
      <c r="C77" s="106"/>
      <c r="D77" s="106"/>
      <c r="E77" s="106"/>
      <c r="F77" s="106"/>
      <c r="G77" s="106"/>
      <c r="H77" s="106"/>
      <c r="I77" s="106"/>
      <c r="J77" s="106"/>
      <c r="K77" s="107"/>
      <c r="L77" s="6"/>
      <c r="V77" s="1"/>
    </row>
    <row r="78" spans="1:12" s="115" customFormat="1" ht="38.25" customHeight="1">
      <c r="A78" s="56" t="s">
        <v>89</v>
      </c>
      <c r="B78" s="108" t="s">
        <v>90</v>
      </c>
      <c r="C78" s="109" t="s">
        <v>91</v>
      </c>
      <c r="D78" s="110"/>
      <c r="E78" s="110"/>
      <c r="F78" s="111"/>
      <c r="G78" s="112" t="s">
        <v>8</v>
      </c>
      <c r="H78" s="112" t="s">
        <v>9</v>
      </c>
      <c r="I78" s="113"/>
      <c r="J78" s="113"/>
      <c r="K78" s="112" t="s">
        <v>10</v>
      </c>
      <c r="L78" s="114"/>
    </row>
    <row r="79" spans="1:22" s="5" customFormat="1" ht="12.75">
      <c r="A79" s="116" t="s">
        <v>92</v>
      </c>
      <c r="B79" s="117">
        <v>2003</v>
      </c>
      <c r="C79" s="104" t="s">
        <v>93</v>
      </c>
      <c r="D79" s="102"/>
      <c r="E79" s="102"/>
      <c r="F79" s="118">
        <v>1</v>
      </c>
      <c r="G79" s="119">
        <v>800</v>
      </c>
      <c r="H79" s="119">
        <f aca="true" t="shared" si="9" ref="H79:H81">G79*F79</f>
        <v>800</v>
      </c>
      <c r="I79" s="101"/>
      <c r="J79" s="101"/>
      <c r="K79" s="120" t="s">
        <v>16</v>
      </c>
      <c r="L79" s="6"/>
      <c r="V79" s="1"/>
    </row>
    <row r="80" spans="1:22" s="5" customFormat="1" ht="12.75">
      <c r="A80" s="121" t="s">
        <v>94</v>
      </c>
      <c r="B80" s="122">
        <v>2000</v>
      </c>
      <c r="C80" s="104" t="s">
        <v>95</v>
      </c>
      <c r="D80" s="102"/>
      <c r="E80" s="102"/>
      <c r="F80" s="118">
        <v>1</v>
      </c>
      <c r="G80" s="119">
        <v>700</v>
      </c>
      <c r="H80" s="119">
        <f t="shared" si="9"/>
        <v>700</v>
      </c>
      <c r="I80" s="101"/>
      <c r="J80" s="101"/>
      <c r="K80" s="120" t="s">
        <v>16</v>
      </c>
      <c r="L80" s="6"/>
      <c r="V80" s="1"/>
    </row>
    <row r="81" spans="1:22" s="5" customFormat="1" ht="13.5">
      <c r="A81" s="101" t="s">
        <v>96</v>
      </c>
      <c r="B81" s="104">
        <v>2000</v>
      </c>
      <c r="C81" s="104" t="s">
        <v>97</v>
      </c>
      <c r="D81" s="102"/>
      <c r="E81" s="102"/>
      <c r="F81" s="104">
        <v>1</v>
      </c>
      <c r="G81" s="119">
        <v>600</v>
      </c>
      <c r="H81" s="123">
        <f t="shared" si="9"/>
        <v>600</v>
      </c>
      <c r="I81" s="101"/>
      <c r="J81" s="101"/>
      <c r="K81" s="120" t="s">
        <v>16</v>
      </c>
      <c r="L81" s="6"/>
      <c r="V81" s="1"/>
    </row>
    <row r="82" spans="1:22" s="5" customFormat="1" ht="16.5">
      <c r="A82" s="104"/>
      <c r="B82" s="45" t="s">
        <v>98</v>
      </c>
      <c r="C82" s="45"/>
      <c r="D82" s="45"/>
      <c r="E82" s="45"/>
      <c r="F82" s="45"/>
      <c r="G82" s="119"/>
      <c r="H82" s="124">
        <f>SUM(H79:H81)</f>
        <v>2100</v>
      </c>
      <c r="I82" s="101"/>
      <c r="J82" s="101"/>
      <c r="K82" s="101"/>
      <c r="L82" s="6"/>
      <c r="V82" s="1"/>
    </row>
    <row r="83" spans="1:22" s="129" customFormat="1" ht="42" customHeight="1">
      <c r="A83" s="125" t="s">
        <v>99</v>
      </c>
      <c r="B83" s="125"/>
      <c r="C83" s="125"/>
      <c r="D83" s="125"/>
      <c r="E83" s="125"/>
      <c r="F83" s="125"/>
      <c r="G83" s="125"/>
      <c r="H83" s="125"/>
      <c r="I83" s="126"/>
      <c r="J83" s="126"/>
      <c r="K83" s="127"/>
      <c r="L83" s="128"/>
      <c r="V83" s="130"/>
    </row>
    <row r="84" spans="1:22" s="5" customFormat="1" ht="45.75" customHeight="1">
      <c r="A84" s="131" t="s">
        <v>100</v>
      </c>
      <c r="B84" s="132"/>
      <c r="C84" s="132"/>
      <c r="D84" s="94"/>
      <c r="E84" s="133"/>
      <c r="F84" s="134"/>
      <c r="G84" s="18" t="s">
        <v>8</v>
      </c>
      <c r="H84" s="18" t="s">
        <v>9</v>
      </c>
      <c r="K84" s="18" t="s">
        <v>10</v>
      </c>
      <c r="L84" s="6"/>
      <c r="V84" s="1"/>
    </row>
    <row r="85" spans="1:22" s="5" customFormat="1" ht="28.5" customHeight="1">
      <c r="A85" s="135" t="s">
        <v>4</v>
      </c>
      <c r="B85" s="135"/>
      <c r="C85" s="136"/>
      <c r="D85" s="50"/>
      <c r="E85" s="59"/>
      <c r="F85" s="137" t="s">
        <v>101</v>
      </c>
      <c r="G85" s="18"/>
      <c r="H85" s="18"/>
      <c r="K85" s="18"/>
      <c r="L85" s="6"/>
      <c r="V85" s="1"/>
    </row>
    <row r="86" spans="1:22" s="5" customFormat="1" ht="26.25" customHeight="1">
      <c r="A86" s="138" t="s">
        <v>102</v>
      </c>
      <c r="B86" s="138"/>
      <c r="C86" s="139"/>
      <c r="D86" s="27"/>
      <c r="E86" s="24"/>
      <c r="F86" s="62">
        <v>1</v>
      </c>
      <c r="G86" s="26">
        <v>28.5</v>
      </c>
      <c r="H86" s="26">
        <f aca="true" t="shared" si="10" ref="H86:H109">G86*F86</f>
        <v>28.5</v>
      </c>
      <c r="I86" s="27"/>
      <c r="J86" s="27"/>
      <c r="K86" s="28" t="s">
        <v>16</v>
      </c>
      <c r="L86" s="6"/>
      <c r="V86" s="1"/>
    </row>
    <row r="87" spans="1:22" s="5" customFormat="1" ht="14.25">
      <c r="A87" s="138" t="s">
        <v>103</v>
      </c>
      <c r="B87" s="138"/>
      <c r="C87" s="139"/>
      <c r="D87" s="27"/>
      <c r="E87" s="24"/>
      <c r="F87" s="62">
        <v>3</v>
      </c>
      <c r="G87" s="26">
        <v>28.5</v>
      </c>
      <c r="H87" s="26">
        <f t="shared" si="10"/>
        <v>85.5</v>
      </c>
      <c r="I87" s="27"/>
      <c r="J87" s="27"/>
      <c r="K87" s="28" t="s">
        <v>16</v>
      </c>
      <c r="L87" s="6"/>
      <c r="V87" s="1"/>
    </row>
    <row r="88" spans="1:22" s="5" customFormat="1" ht="14.25">
      <c r="A88" s="138" t="s">
        <v>104</v>
      </c>
      <c r="B88" s="138"/>
      <c r="C88" s="139"/>
      <c r="D88" s="27"/>
      <c r="E88" s="24"/>
      <c r="F88" s="62">
        <v>8</v>
      </c>
      <c r="G88" s="26">
        <v>25</v>
      </c>
      <c r="H88" s="26">
        <f t="shared" si="10"/>
        <v>200</v>
      </c>
      <c r="I88" s="27"/>
      <c r="J88" s="27"/>
      <c r="K88" s="28" t="s">
        <v>16</v>
      </c>
      <c r="L88" s="6"/>
      <c r="V88" s="1"/>
    </row>
    <row r="89" spans="1:22" s="5" customFormat="1" ht="14.25">
      <c r="A89" s="138" t="s">
        <v>105</v>
      </c>
      <c r="B89" s="138"/>
      <c r="C89" s="139"/>
      <c r="D89" s="27"/>
      <c r="E89" s="24"/>
      <c r="F89" s="62">
        <v>4</v>
      </c>
      <c r="G89" s="26">
        <v>14.3</v>
      </c>
      <c r="H89" s="26">
        <f t="shared" si="10"/>
        <v>57.2</v>
      </c>
      <c r="I89" s="27"/>
      <c r="J89" s="27"/>
      <c r="K89" s="28" t="s">
        <v>16</v>
      </c>
      <c r="L89" s="6"/>
      <c r="V89" s="1"/>
    </row>
    <row r="90" spans="1:22" s="5" customFormat="1" ht="14.25">
      <c r="A90" s="138" t="s">
        <v>106</v>
      </c>
      <c r="B90" s="138"/>
      <c r="C90" s="139"/>
      <c r="D90" s="27"/>
      <c r="E90" s="24"/>
      <c r="F90" s="62">
        <v>4</v>
      </c>
      <c r="G90" s="26">
        <v>14.3</v>
      </c>
      <c r="H90" s="26">
        <f t="shared" si="10"/>
        <v>57.2</v>
      </c>
      <c r="I90" s="27"/>
      <c r="J90" s="27"/>
      <c r="K90" s="28" t="s">
        <v>16</v>
      </c>
      <c r="L90" s="6"/>
      <c r="V90" s="1"/>
    </row>
    <row r="91" spans="1:22" s="5" customFormat="1" ht="14.25">
      <c r="A91" s="138" t="s">
        <v>107</v>
      </c>
      <c r="B91" s="138"/>
      <c r="C91" s="139"/>
      <c r="D91" s="27"/>
      <c r="E91" s="24"/>
      <c r="F91" s="62">
        <v>1</v>
      </c>
      <c r="G91" s="26">
        <v>32</v>
      </c>
      <c r="H91" s="26">
        <f t="shared" si="10"/>
        <v>32</v>
      </c>
      <c r="I91" s="27"/>
      <c r="J91" s="27"/>
      <c r="K91" s="28" t="s">
        <v>16</v>
      </c>
      <c r="L91" s="6"/>
      <c r="V91" s="1"/>
    </row>
    <row r="92" spans="1:22" s="5" customFormat="1" ht="14.25">
      <c r="A92" s="138" t="s">
        <v>108</v>
      </c>
      <c r="B92" s="138"/>
      <c r="C92" s="139"/>
      <c r="D92" s="27"/>
      <c r="E92" s="24"/>
      <c r="F92" s="62">
        <v>1</v>
      </c>
      <c r="G92" s="26">
        <v>28.5</v>
      </c>
      <c r="H92" s="26">
        <f t="shared" si="10"/>
        <v>28.5</v>
      </c>
      <c r="I92" s="27"/>
      <c r="J92" s="27"/>
      <c r="K92" s="28" t="s">
        <v>16</v>
      </c>
      <c r="L92" s="6"/>
      <c r="V92" s="1"/>
    </row>
    <row r="93" spans="1:22" s="5" customFormat="1" ht="14.25">
      <c r="A93" s="138" t="s">
        <v>109</v>
      </c>
      <c r="B93" s="138"/>
      <c r="C93" s="139"/>
      <c r="D93" s="27"/>
      <c r="E93" s="24"/>
      <c r="F93" s="62">
        <v>1</v>
      </c>
      <c r="G93" s="26">
        <v>25</v>
      </c>
      <c r="H93" s="26">
        <f t="shared" si="10"/>
        <v>25</v>
      </c>
      <c r="I93" s="27"/>
      <c r="J93" s="27"/>
      <c r="K93" s="28" t="s">
        <v>16</v>
      </c>
      <c r="L93" s="6"/>
      <c r="V93" s="1"/>
    </row>
    <row r="94" spans="1:22" s="5" customFormat="1" ht="14.25">
      <c r="A94" s="138" t="s">
        <v>110</v>
      </c>
      <c r="B94" s="138"/>
      <c r="C94" s="139"/>
      <c r="D94" s="27"/>
      <c r="E94" s="24"/>
      <c r="F94" s="62">
        <v>1</v>
      </c>
      <c r="G94" s="26">
        <v>17.5</v>
      </c>
      <c r="H94" s="26">
        <f t="shared" si="10"/>
        <v>17.5</v>
      </c>
      <c r="I94" s="27"/>
      <c r="J94" s="27"/>
      <c r="K94" s="28" t="s">
        <v>16</v>
      </c>
      <c r="L94" s="6"/>
      <c r="V94" s="1"/>
    </row>
    <row r="95" spans="1:22" s="5" customFormat="1" ht="14.25">
      <c r="A95" s="138" t="s">
        <v>111</v>
      </c>
      <c r="B95" s="138"/>
      <c r="C95" s="139"/>
      <c r="D95" s="27"/>
      <c r="E95" s="24"/>
      <c r="F95" s="62">
        <v>3</v>
      </c>
      <c r="G95" s="26">
        <v>25</v>
      </c>
      <c r="H95" s="26">
        <f t="shared" si="10"/>
        <v>75</v>
      </c>
      <c r="I95" s="27"/>
      <c r="J95" s="27"/>
      <c r="K95" s="28" t="s">
        <v>16</v>
      </c>
      <c r="L95" s="6"/>
      <c r="V95" s="1"/>
    </row>
    <row r="96" spans="1:22" s="5" customFormat="1" ht="14.25">
      <c r="A96" s="138" t="s">
        <v>112</v>
      </c>
      <c r="B96" s="138"/>
      <c r="C96" s="139"/>
      <c r="D96" s="27"/>
      <c r="E96" s="24"/>
      <c r="F96" s="62">
        <v>8</v>
      </c>
      <c r="G96" s="26">
        <v>25</v>
      </c>
      <c r="H96" s="26">
        <f t="shared" si="10"/>
        <v>200</v>
      </c>
      <c r="I96" s="27"/>
      <c r="J96" s="27"/>
      <c r="K96" s="28" t="s">
        <v>16</v>
      </c>
      <c r="L96" s="6"/>
      <c r="V96" s="1"/>
    </row>
    <row r="97" spans="1:22" s="5" customFormat="1" ht="14.25">
      <c r="A97" s="138" t="s">
        <v>113</v>
      </c>
      <c r="B97" s="138"/>
      <c r="C97" s="139"/>
      <c r="D97" s="27"/>
      <c r="E97" s="24"/>
      <c r="F97" s="62">
        <v>2</v>
      </c>
      <c r="G97" s="26">
        <v>32</v>
      </c>
      <c r="H97" s="26">
        <f t="shared" si="10"/>
        <v>64</v>
      </c>
      <c r="I97" s="27"/>
      <c r="J97" s="27"/>
      <c r="K97" s="28" t="s">
        <v>16</v>
      </c>
      <c r="L97" s="6"/>
      <c r="V97" s="1"/>
    </row>
    <row r="98" spans="1:22" s="5" customFormat="1" ht="14.25">
      <c r="A98" s="138" t="s">
        <v>114</v>
      </c>
      <c r="B98" s="138"/>
      <c r="C98" s="139"/>
      <c r="D98" s="27"/>
      <c r="E98" s="24"/>
      <c r="F98" s="62">
        <v>13</v>
      </c>
      <c r="G98" s="26">
        <v>39</v>
      </c>
      <c r="H98" s="26">
        <f t="shared" si="10"/>
        <v>507</v>
      </c>
      <c r="I98" s="27"/>
      <c r="J98" s="27"/>
      <c r="K98" s="28" t="s">
        <v>16</v>
      </c>
      <c r="L98" s="6"/>
      <c r="V98" s="1"/>
    </row>
    <row r="99" spans="1:22" s="5" customFormat="1" ht="14.25">
      <c r="A99" s="138" t="s">
        <v>115</v>
      </c>
      <c r="B99" s="138"/>
      <c r="C99" s="139"/>
      <c r="D99" s="27"/>
      <c r="E99" s="24"/>
      <c r="F99" s="62">
        <v>14</v>
      </c>
      <c r="G99" s="26">
        <v>32</v>
      </c>
      <c r="H99" s="26">
        <f t="shared" si="10"/>
        <v>448</v>
      </c>
      <c r="I99" s="27"/>
      <c r="J99" s="27"/>
      <c r="K99" s="28" t="s">
        <v>16</v>
      </c>
      <c r="L99" s="6"/>
      <c r="V99" s="1"/>
    </row>
    <row r="100" spans="1:22" s="5" customFormat="1" ht="14.25">
      <c r="A100" s="138" t="s">
        <v>116</v>
      </c>
      <c r="B100" s="138"/>
      <c r="C100" s="139"/>
      <c r="D100" s="27"/>
      <c r="E100" s="24"/>
      <c r="F100" s="62">
        <v>3</v>
      </c>
      <c r="G100" s="26">
        <v>57</v>
      </c>
      <c r="H100" s="26">
        <f t="shared" si="10"/>
        <v>171</v>
      </c>
      <c r="I100" s="27"/>
      <c r="J100" s="27"/>
      <c r="K100" s="28" t="s">
        <v>16</v>
      </c>
      <c r="L100" s="6"/>
      <c r="V100" s="1"/>
    </row>
    <row r="101" spans="1:22" s="5" customFormat="1" ht="14.25">
      <c r="A101" s="138" t="s">
        <v>117</v>
      </c>
      <c r="B101" s="138"/>
      <c r="C101" s="139"/>
      <c r="D101" s="27"/>
      <c r="E101" s="24"/>
      <c r="F101" s="62">
        <v>8</v>
      </c>
      <c r="G101" s="26">
        <v>25</v>
      </c>
      <c r="H101" s="26">
        <f t="shared" si="10"/>
        <v>200</v>
      </c>
      <c r="I101" s="27"/>
      <c r="J101" s="27"/>
      <c r="K101" s="28" t="s">
        <v>16</v>
      </c>
      <c r="L101" s="6"/>
      <c r="V101" s="1"/>
    </row>
    <row r="102" spans="1:22" s="5" customFormat="1" ht="14.25">
      <c r="A102" s="138" t="s">
        <v>118</v>
      </c>
      <c r="B102" s="138"/>
      <c r="C102" s="139"/>
      <c r="D102" s="27"/>
      <c r="E102" s="24"/>
      <c r="F102" s="62">
        <v>6</v>
      </c>
      <c r="G102" s="26">
        <v>17.5</v>
      </c>
      <c r="H102" s="26">
        <f t="shared" si="10"/>
        <v>105</v>
      </c>
      <c r="I102" s="27"/>
      <c r="J102" s="27"/>
      <c r="K102" s="28" t="s">
        <v>16</v>
      </c>
      <c r="L102" s="6"/>
      <c r="V102" s="1"/>
    </row>
    <row r="103" spans="1:22" s="5" customFormat="1" ht="14.25">
      <c r="A103" s="138" t="s">
        <v>119</v>
      </c>
      <c r="B103" s="138"/>
      <c r="C103" s="139"/>
      <c r="D103" s="27"/>
      <c r="E103" s="24"/>
      <c r="F103" s="62">
        <v>18</v>
      </c>
      <c r="G103" s="26">
        <v>7</v>
      </c>
      <c r="H103" s="26">
        <f t="shared" si="10"/>
        <v>126</v>
      </c>
      <c r="I103" s="27"/>
      <c r="J103" s="27"/>
      <c r="K103" s="28" t="s">
        <v>16</v>
      </c>
      <c r="L103" s="6"/>
      <c r="V103" s="1"/>
    </row>
    <row r="104" spans="1:22" s="5" customFormat="1" ht="14.25">
      <c r="A104" s="138" t="s">
        <v>120</v>
      </c>
      <c r="B104" s="138"/>
      <c r="C104" s="139"/>
      <c r="D104" s="27"/>
      <c r="E104" s="24"/>
      <c r="F104" s="62">
        <v>15</v>
      </c>
      <c r="G104" s="26">
        <v>10.5</v>
      </c>
      <c r="H104" s="26">
        <f t="shared" si="10"/>
        <v>157.5</v>
      </c>
      <c r="I104" s="27"/>
      <c r="J104" s="27"/>
      <c r="K104" s="28" t="s">
        <v>16</v>
      </c>
      <c r="L104" s="6"/>
      <c r="V104" s="1"/>
    </row>
    <row r="105" spans="1:22" s="5" customFormat="1" ht="14.25">
      <c r="A105" s="138" t="s">
        <v>121</v>
      </c>
      <c r="B105" s="138"/>
      <c r="C105" s="139"/>
      <c r="D105" s="27"/>
      <c r="E105" s="24"/>
      <c r="F105" s="62">
        <v>4</v>
      </c>
      <c r="G105" s="26">
        <v>10.5</v>
      </c>
      <c r="H105" s="26">
        <f t="shared" si="10"/>
        <v>42</v>
      </c>
      <c r="I105" s="27"/>
      <c r="J105" s="27"/>
      <c r="K105" s="28" t="s">
        <v>16</v>
      </c>
      <c r="L105" s="6"/>
      <c r="V105" s="1"/>
    </row>
    <row r="106" spans="1:22" s="5" customFormat="1" ht="14.25">
      <c r="A106" s="138" t="s">
        <v>122</v>
      </c>
      <c r="B106" s="138"/>
      <c r="C106" s="139"/>
      <c r="D106" s="27"/>
      <c r="E106" s="24"/>
      <c r="F106" s="62">
        <v>1</v>
      </c>
      <c r="G106" s="26">
        <v>28.5</v>
      </c>
      <c r="H106" s="26">
        <f t="shared" si="10"/>
        <v>28.5</v>
      </c>
      <c r="I106" s="27"/>
      <c r="J106" s="27"/>
      <c r="K106" s="28" t="s">
        <v>16</v>
      </c>
      <c r="L106" s="6"/>
      <c r="V106" s="1"/>
    </row>
    <row r="107" spans="1:22" s="5" customFormat="1" ht="14.25">
      <c r="A107" s="138" t="s">
        <v>123</v>
      </c>
      <c r="B107" s="138"/>
      <c r="C107" s="46"/>
      <c r="D107" s="27"/>
      <c r="E107" s="24"/>
      <c r="F107" s="62">
        <v>5</v>
      </c>
      <c r="G107" s="26">
        <v>17.5</v>
      </c>
      <c r="H107" s="26">
        <f t="shared" si="10"/>
        <v>87.5</v>
      </c>
      <c r="I107" s="27"/>
      <c r="J107" s="27"/>
      <c r="K107" s="28" t="s">
        <v>16</v>
      </c>
      <c r="L107" s="6"/>
      <c r="V107" s="1"/>
    </row>
    <row r="108" spans="1:22" s="5" customFormat="1" ht="14.25">
      <c r="A108" s="138" t="s">
        <v>124</v>
      </c>
      <c r="B108" s="138"/>
      <c r="C108" s="139"/>
      <c r="D108" s="27"/>
      <c r="E108" s="24"/>
      <c r="F108" s="62">
        <v>1</v>
      </c>
      <c r="G108" s="26">
        <v>42</v>
      </c>
      <c r="H108" s="26">
        <f t="shared" si="10"/>
        <v>42</v>
      </c>
      <c r="I108" s="27"/>
      <c r="J108" s="27"/>
      <c r="K108" s="28" t="s">
        <v>16</v>
      </c>
      <c r="L108" s="6"/>
      <c r="V108" s="1"/>
    </row>
    <row r="109" spans="1:22" s="5" customFormat="1" ht="14.25">
      <c r="A109" s="140" t="s">
        <v>125</v>
      </c>
      <c r="B109" s="140"/>
      <c r="C109" s="139"/>
      <c r="D109" s="27"/>
      <c r="E109" s="24"/>
      <c r="F109" s="45">
        <v>5</v>
      </c>
      <c r="G109" s="26">
        <v>7</v>
      </c>
      <c r="H109" s="26">
        <f t="shared" si="10"/>
        <v>35</v>
      </c>
      <c r="I109" s="141"/>
      <c r="J109" s="27"/>
      <c r="K109" s="28" t="s">
        <v>16</v>
      </c>
      <c r="L109" s="6"/>
      <c r="V109" s="1"/>
    </row>
    <row r="110" spans="1:22" s="5" customFormat="1" ht="14.25">
      <c r="A110" s="140"/>
      <c r="B110" s="45" t="s">
        <v>126</v>
      </c>
      <c r="C110" s="45"/>
      <c r="D110" s="45"/>
      <c r="E110" s="45"/>
      <c r="F110" s="45"/>
      <c r="G110" s="24"/>
      <c r="H110" s="142">
        <f>SUM(H86:H109)</f>
        <v>2819.9</v>
      </c>
      <c r="L110" s="6"/>
      <c r="V110" s="1"/>
    </row>
    <row r="111" spans="1:22" s="5" customFormat="1" ht="18">
      <c r="A111" s="143" t="s">
        <v>127</v>
      </c>
      <c r="B111" s="143"/>
      <c r="C111" s="143"/>
      <c r="D111" s="143"/>
      <c r="E111" s="143"/>
      <c r="F111" s="143"/>
      <c r="G111" s="144"/>
      <c r="H111" s="145">
        <f>H24+H36+H43+H55+H64+H76+H81+H110</f>
        <v>14874.4</v>
      </c>
      <c r="L111" s="6"/>
      <c r="V111" s="1"/>
    </row>
    <row r="112" spans="1:22" s="5" customFormat="1" ht="18.75">
      <c r="A112" s="146"/>
      <c r="B112" s="146"/>
      <c r="C112" s="146"/>
      <c r="D112" s="146"/>
      <c r="E112" s="146"/>
      <c r="F112" s="146"/>
      <c r="G112" s="144"/>
      <c r="H112" s="145"/>
      <c r="L112" s="6"/>
      <c r="V112" s="1"/>
    </row>
    <row r="113" spans="1:22" s="5" customFormat="1" ht="30" customHeight="1">
      <c r="A113" s="147" t="s">
        <v>128</v>
      </c>
      <c r="B113" s="147"/>
      <c r="C113" s="147"/>
      <c r="D113" s="147"/>
      <c r="E113" s="147"/>
      <c r="F113" s="147"/>
      <c r="G113" s="147"/>
      <c r="H113" s="147"/>
      <c r="I113" s="148"/>
      <c r="J113" s="148"/>
      <c r="K113" s="149"/>
      <c r="L113" s="150"/>
      <c r="V113" s="1"/>
    </row>
    <row r="114" spans="1:22" s="115" customFormat="1" ht="35.25" customHeight="1">
      <c r="A114" s="151" t="s">
        <v>129</v>
      </c>
      <c r="B114" s="152"/>
      <c r="C114" s="152"/>
      <c r="D114" s="152"/>
      <c r="E114" s="152"/>
      <c r="F114" s="153"/>
      <c r="G114" s="154"/>
      <c r="H114" s="155" t="s">
        <v>130</v>
      </c>
      <c r="I114" s="5"/>
      <c r="J114" s="5"/>
      <c r="K114" s="18" t="s">
        <v>131</v>
      </c>
      <c r="L114" s="156" t="s">
        <v>10</v>
      </c>
      <c r="V114" s="157"/>
    </row>
    <row r="115" spans="1:12" s="5" customFormat="1" ht="37.5" customHeight="1">
      <c r="A115" s="158" t="s">
        <v>132</v>
      </c>
      <c r="B115" s="159" t="s">
        <v>133</v>
      </c>
      <c r="C115" s="160"/>
      <c r="D115" s="161"/>
      <c r="E115" s="162" t="s">
        <v>134</v>
      </c>
      <c r="F115" s="162" t="s">
        <v>135</v>
      </c>
      <c r="G115" s="163" t="s">
        <v>136</v>
      </c>
      <c r="H115" s="155"/>
      <c r="K115" s="18"/>
      <c r="L115" s="156"/>
    </row>
    <row r="116" spans="1:12" s="5" customFormat="1" ht="25.5" customHeight="1">
      <c r="A116" s="164" t="s">
        <v>137</v>
      </c>
      <c r="B116" s="165" t="s">
        <v>138</v>
      </c>
      <c r="C116" s="165" t="s">
        <v>139</v>
      </c>
      <c r="D116" s="165" t="s">
        <v>140</v>
      </c>
      <c r="E116" s="166">
        <v>14.79</v>
      </c>
      <c r="F116" s="167">
        <f>2</f>
        <v>2</v>
      </c>
      <c r="G116" s="168">
        <f aca="true" t="shared" si="11" ref="G116:G410">F116*E116</f>
        <v>29.58</v>
      </c>
      <c r="H116" s="26">
        <v>4.5</v>
      </c>
      <c r="I116" s="26"/>
      <c r="J116" s="26"/>
      <c r="K116" s="169">
        <f aca="true" t="shared" si="12" ref="K116:K410">H116*F116</f>
        <v>9</v>
      </c>
      <c r="L116" s="170" t="s">
        <v>141</v>
      </c>
    </row>
    <row r="117" spans="1:12" ht="13.5">
      <c r="A117" s="164" t="s">
        <v>142</v>
      </c>
      <c r="B117" s="165" t="s">
        <v>138</v>
      </c>
      <c r="C117" s="165" t="s">
        <v>143</v>
      </c>
      <c r="D117" s="165" t="s">
        <v>140</v>
      </c>
      <c r="E117" s="166">
        <v>10.65</v>
      </c>
      <c r="F117" s="167">
        <f>1+7+3</f>
        <v>11</v>
      </c>
      <c r="G117" s="168">
        <f t="shared" si="11"/>
        <v>117.15</v>
      </c>
      <c r="H117" s="26">
        <v>3.8</v>
      </c>
      <c r="I117" s="26"/>
      <c r="J117" s="26"/>
      <c r="K117" s="26">
        <f t="shared" si="12"/>
        <v>41.8</v>
      </c>
      <c r="L117" s="171" t="s">
        <v>144</v>
      </c>
    </row>
    <row r="118" spans="1:12" ht="13.5">
      <c r="A118" s="172" t="s">
        <v>145</v>
      </c>
      <c r="B118" s="165" t="s">
        <v>138</v>
      </c>
      <c r="C118" s="165" t="s">
        <v>146</v>
      </c>
      <c r="D118" s="165" t="s">
        <v>140</v>
      </c>
      <c r="E118" s="173">
        <v>61.6</v>
      </c>
      <c r="F118" s="167">
        <f aca="true" t="shared" si="13" ref="F118:F119">1</f>
        <v>1</v>
      </c>
      <c r="G118" s="168">
        <f t="shared" si="11"/>
        <v>61.6</v>
      </c>
      <c r="H118" s="26">
        <v>14</v>
      </c>
      <c r="I118" s="26"/>
      <c r="J118" s="26"/>
      <c r="K118" s="26">
        <f t="shared" si="12"/>
        <v>14</v>
      </c>
      <c r="L118" s="171" t="s">
        <v>144</v>
      </c>
    </row>
    <row r="119" spans="1:22" s="5" customFormat="1" ht="13.5">
      <c r="A119" s="164" t="s">
        <v>147</v>
      </c>
      <c r="B119" s="165" t="s">
        <v>138</v>
      </c>
      <c r="C119" s="165" t="s">
        <v>146</v>
      </c>
      <c r="D119" s="165" t="s">
        <v>140</v>
      </c>
      <c r="E119" s="173">
        <v>55</v>
      </c>
      <c r="F119" s="167">
        <f t="shared" si="13"/>
        <v>1</v>
      </c>
      <c r="G119" s="168">
        <f t="shared" si="11"/>
        <v>55</v>
      </c>
      <c r="H119" s="26">
        <v>12</v>
      </c>
      <c r="I119" s="26"/>
      <c r="J119" s="26"/>
      <c r="K119" s="26">
        <f t="shared" si="12"/>
        <v>12</v>
      </c>
      <c r="L119" s="171" t="s">
        <v>144</v>
      </c>
      <c r="V119" s="1"/>
    </row>
    <row r="120" spans="1:22" s="5" customFormat="1" ht="13.5">
      <c r="A120" s="164" t="s">
        <v>148</v>
      </c>
      <c r="B120" s="165" t="s">
        <v>138</v>
      </c>
      <c r="C120" s="165" t="s">
        <v>146</v>
      </c>
      <c r="D120" s="165" t="s">
        <v>140</v>
      </c>
      <c r="E120" s="166">
        <v>44.5</v>
      </c>
      <c r="F120" s="167">
        <f>4</f>
        <v>4</v>
      </c>
      <c r="G120" s="168">
        <f t="shared" si="11"/>
        <v>178</v>
      </c>
      <c r="H120" s="26">
        <v>14</v>
      </c>
      <c r="I120" s="26"/>
      <c r="J120" s="26"/>
      <c r="K120" s="26">
        <f t="shared" si="12"/>
        <v>56</v>
      </c>
      <c r="L120" s="171" t="s">
        <v>144</v>
      </c>
      <c r="V120" s="1"/>
    </row>
    <row r="121" spans="1:22" s="5" customFormat="1" ht="13.5">
      <c r="A121" s="164" t="s">
        <v>149</v>
      </c>
      <c r="B121" s="165" t="s">
        <v>138</v>
      </c>
      <c r="C121" s="165" t="s">
        <v>150</v>
      </c>
      <c r="D121" s="165" t="s">
        <v>140</v>
      </c>
      <c r="E121" s="166">
        <v>21.8</v>
      </c>
      <c r="F121" s="167">
        <f aca="true" t="shared" si="14" ref="F121:F122">2</f>
        <v>2</v>
      </c>
      <c r="G121" s="168">
        <f t="shared" si="11"/>
        <v>43.6</v>
      </c>
      <c r="H121" s="26">
        <v>7.5</v>
      </c>
      <c r="I121" s="26"/>
      <c r="J121" s="26"/>
      <c r="K121" s="26">
        <f t="shared" si="12"/>
        <v>15</v>
      </c>
      <c r="L121" s="171" t="s">
        <v>144</v>
      </c>
      <c r="V121" s="1"/>
    </row>
    <row r="122" spans="1:22" s="5" customFormat="1" ht="13.5">
      <c r="A122" s="164" t="s">
        <v>151</v>
      </c>
      <c r="B122" s="165" t="s">
        <v>138</v>
      </c>
      <c r="C122" s="165" t="s">
        <v>146</v>
      </c>
      <c r="D122" s="165" t="s">
        <v>140</v>
      </c>
      <c r="E122" s="173">
        <v>98</v>
      </c>
      <c r="F122" s="167">
        <f t="shared" si="14"/>
        <v>2</v>
      </c>
      <c r="G122" s="168">
        <f t="shared" si="11"/>
        <v>196</v>
      </c>
      <c r="H122" s="26">
        <v>18</v>
      </c>
      <c r="I122" s="26"/>
      <c r="J122" s="26"/>
      <c r="K122" s="26">
        <f t="shared" si="12"/>
        <v>36</v>
      </c>
      <c r="L122" s="171" t="s">
        <v>144</v>
      </c>
      <c r="V122" s="1"/>
    </row>
    <row r="123" spans="1:22" s="5" customFormat="1" ht="13.5">
      <c r="A123" s="164" t="s">
        <v>152</v>
      </c>
      <c r="B123" s="165" t="s">
        <v>138</v>
      </c>
      <c r="C123" s="165" t="s">
        <v>153</v>
      </c>
      <c r="D123" s="165" t="s">
        <v>140</v>
      </c>
      <c r="E123" s="166">
        <v>27.5</v>
      </c>
      <c r="F123" s="167">
        <f>4</f>
        <v>4</v>
      </c>
      <c r="G123" s="168">
        <f t="shared" si="11"/>
        <v>110</v>
      </c>
      <c r="H123" s="26">
        <v>9.5</v>
      </c>
      <c r="I123" s="26"/>
      <c r="J123" s="26"/>
      <c r="K123" s="26">
        <f t="shared" si="12"/>
        <v>38</v>
      </c>
      <c r="L123" s="171" t="s">
        <v>144</v>
      </c>
      <c r="V123" s="1"/>
    </row>
    <row r="124" spans="1:22" s="5" customFormat="1" ht="13.5">
      <c r="A124" s="164" t="s">
        <v>154</v>
      </c>
      <c r="B124" s="165" t="s">
        <v>138</v>
      </c>
      <c r="C124" s="165" t="s">
        <v>153</v>
      </c>
      <c r="D124" s="165" t="s">
        <v>140</v>
      </c>
      <c r="E124" s="166">
        <v>20.95</v>
      </c>
      <c r="F124" s="167">
        <f>1</f>
        <v>1</v>
      </c>
      <c r="G124" s="168">
        <f t="shared" si="11"/>
        <v>20.95</v>
      </c>
      <c r="H124" s="26">
        <v>6.5</v>
      </c>
      <c r="I124" s="26"/>
      <c r="J124" s="26"/>
      <c r="K124" s="26">
        <f t="shared" si="12"/>
        <v>6.5</v>
      </c>
      <c r="L124" s="171" t="s">
        <v>144</v>
      </c>
      <c r="V124" s="1"/>
    </row>
    <row r="125" spans="1:22" s="5" customFormat="1" ht="13.5">
      <c r="A125" s="164" t="s">
        <v>155</v>
      </c>
      <c r="B125" s="165" t="s">
        <v>138</v>
      </c>
      <c r="C125" s="165" t="s">
        <v>153</v>
      </c>
      <c r="D125" s="165" t="s">
        <v>140</v>
      </c>
      <c r="E125" s="166">
        <v>6.35</v>
      </c>
      <c r="F125" s="167">
        <f>2</f>
        <v>2</v>
      </c>
      <c r="G125" s="168">
        <f t="shared" si="11"/>
        <v>12.7</v>
      </c>
      <c r="H125" s="26">
        <v>2.2</v>
      </c>
      <c r="I125" s="26"/>
      <c r="J125" s="26"/>
      <c r="K125" s="26">
        <f t="shared" si="12"/>
        <v>4.4</v>
      </c>
      <c r="L125" s="171" t="s">
        <v>144</v>
      </c>
      <c r="V125" s="1"/>
    </row>
    <row r="126" spans="1:22" s="5" customFormat="1" ht="13.5">
      <c r="A126" s="164" t="s">
        <v>156</v>
      </c>
      <c r="B126" s="165" t="s">
        <v>138</v>
      </c>
      <c r="C126" s="165" t="s">
        <v>146</v>
      </c>
      <c r="D126" s="165" t="s">
        <v>140</v>
      </c>
      <c r="E126" s="173">
        <v>43.5</v>
      </c>
      <c r="F126" s="167">
        <f>1+2</f>
        <v>3</v>
      </c>
      <c r="G126" s="168">
        <f t="shared" si="11"/>
        <v>130.5</v>
      </c>
      <c r="H126" s="26">
        <v>13</v>
      </c>
      <c r="I126" s="26"/>
      <c r="J126" s="26"/>
      <c r="K126" s="26">
        <f t="shared" si="12"/>
        <v>39</v>
      </c>
      <c r="L126" s="171" t="s">
        <v>144</v>
      </c>
      <c r="V126" s="1"/>
    </row>
    <row r="127" spans="1:22" s="5" customFormat="1" ht="13.5">
      <c r="A127" s="164" t="s">
        <v>157</v>
      </c>
      <c r="B127" s="165" t="s">
        <v>138</v>
      </c>
      <c r="C127" s="165" t="s">
        <v>150</v>
      </c>
      <c r="D127" s="165" t="s">
        <v>140</v>
      </c>
      <c r="E127" s="166">
        <v>54.14</v>
      </c>
      <c r="F127" s="167">
        <f>7</f>
        <v>7</v>
      </c>
      <c r="G127" s="168">
        <f t="shared" si="11"/>
        <v>378.98</v>
      </c>
      <c r="H127" s="26">
        <v>16</v>
      </c>
      <c r="I127" s="26"/>
      <c r="J127" s="26"/>
      <c r="K127" s="26">
        <f t="shared" si="12"/>
        <v>112</v>
      </c>
      <c r="L127" s="171" t="s">
        <v>144</v>
      </c>
      <c r="V127" s="1"/>
    </row>
    <row r="128" spans="1:22" s="5" customFormat="1" ht="13.5">
      <c r="A128" s="164" t="s">
        <v>158</v>
      </c>
      <c r="B128" s="165" t="s">
        <v>138</v>
      </c>
      <c r="C128" s="165" t="s">
        <v>153</v>
      </c>
      <c r="D128" s="165" t="s">
        <v>140</v>
      </c>
      <c r="E128" s="166">
        <v>10.8</v>
      </c>
      <c r="F128" s="167">
        <f>1</f>
        <v>1</v>
      </c>
      <c r="G128" s="168">
        <f t="shared" si="11"/>
        <v>10.8</v>
      </c>
      <c r="H128" s="26">
        <v>3.5</v>
      </c>
      <c r="I128" s="26"/>
      <c r="J128" s="26"/>
      <c r="K128" s="26">
        <f t="shared" si="12"/>
        <v>3.5</v>
      </c>
      <c r="L128" s="171" t="s">
        <v>144</v>
      </c>
      <c r="V128" s="1"/>
    </row>
    <row r="129" spans="1:22" s="5" customFormat="1" ht="13.5">
      <c r="A129" s="164" t="s">
        <v>159</v>
      </c>
      <c r="B129" s="165" t="s">
        <v>138</v>
      </c>
      <c r="C129" s="165" t="s">
        <v>143</v>
      </c>
      <c r="D129" s="165" t="s">
        <v>140</v>
      </c>
      <c r="E129" s="166">
        <v>17</v>
      </c>
      <c r="F129" s="167">
        <f>2</f>
        <v>2</v>
      </c>
      <c r="G129" s="168">
        <f t="shared" si="11"/>
        <v>34</v>
      </c>
      <c r="H129" s="26">
        <v>5.8</v>
      </c>
      <c r="I129" s="26"/>
      <c r="J129" s="26"/>
      <c r="K129" s="26">
        <f t="shared" si="12"/>
        <v>11.6</v>
      </c>
      <c r="L129" s="171" t="s">
        <v>144</v>
      </c>
      <c r="V129" s="1"/>
    </row>
    <row r="130" spans="1:22" s="5" customFormat="1" ht="13.5">
      <c r="A130" s="164" t="s">
        <v>160</v>
      </c>
      <c r="B130" s="165" t="s">
        <v>138</v>
      </c>
      <c r="C130" s="165" t="s">
        <v>146</v>
      </c>
      <c r="D130" s="165" t="s">
        <v>140</v>
      </c>
      <c r="E130" s="166">
        <v>58</v>
      </c>
      <c r="F130" s="167">
        <f>2+1</f>
        <v>3</v>
      </c>
      <c r="G130" s="168">
        <f t="shared" si="11"/>
        <v>174</v>
      </c>
      <c r="H130" s="26">
        <v>16.5</v>
      </c>
      <c r="I130" s="26"/>
      <c r="J130" s="26"/>
      <c r="K130" s="26">
        <f t="shared" si="12"/>
        <v>49.5</v>
      </c>
      <c r="L130" s="171" t="s">
        <v>144</v>
      </c>
      <c r="V130" s="1"/>
    </row>
    <row r="131" spans="1:22" s="5" customFormat="1" ht="13.5">
      <c r="A131" s="164" t="s">
        <v>159</v>
      </c>
      <c r="B131" s="165" t="s">
        <v>138</v>
      </c>
      <c r="C131" s="165" t="s">
        <v>143</v>
      </c>
      <c r="D131" s="165" t="s">
        <v>140</v>
      </c>
      <c r="E131" s="173">
        <v>7.8</v>
      </c>
      <c r="F131" s="167">
        <f>2</f>
        <v>2</v>
      </c>
      <c r="G131" s="168">
        <f t="shared" si="11"/>
        <v>15.6</v>
      </c>
      <c r="H131" s="26">
        <v>2.2</v>
      </c>
      <c r="I131" s="26"/>
      <c r="J131" s="26"/>
      <c r="K131" s="26">
        <f t="shared" si="12"/>
        <v>4.4</v>
      </c>
      <c r="L131" s="171" t="s">
        <v>144</v>
      </c>
      <c r="V131" s="1"/>
    </row>
    <row r="132" spans="1:22" s="5" customFormat="1" ht="13.5">
      <c r="A132" s="164" t="s">
        <v>161</v>
      </c>
      <c r="B132" s="165" t="s">
        <v>138</v>
      </c>
      <c r="C132" s="165" t="s">
        <v>162</v>
      </c>
      <c r="D132" s="165" t="s">
        <v>140</v>
      </c>
      <c r="E132" s="166">
        <v>64.89</v>
      </c>
      <c r="F132" s="167">
        <f>1</f>
        <v>1</v>
      </c>
      <c r="G132" s="168">
        <f t="shared" si="11"/>
        <v>64.89</v>
      </c>
      <c r="H132" s="26">
        <v>15</v>
      </c>
      <c r="I132" s="26"/>
      <c r="J132" s="26"/>
      <c r="K132" s="26">
        <f t="shared" si="12"/>
        <v>15</v>
      </c>
      <c r="L132" s="171" t="s">
        <v>144</v>
      </c>
      <c r="V132" s="1"/>
    </row>
    <row r="133" spans="1:22" s="5" customFormat="1" ht="13.5">
      <c r="A133" s="164" t="s">
        <v>159</v>
      </c>
      <c r="B133" s="165" t="s">
        <v>138</v>
      </c>
      <c r="C133" s="165" t="s">
        <v>143</v>
      </c>
      <c r="D133" s="165" t="s">
        <v>140</v>
      </c>
      <c r="E133" s="166">
        <v>11.3</v>
      </c>
      <c r="F133" s="167">
        <f>2</f>
        <v>2</v>
      </c>
      <c r="G133" s="168">
        <f t="shared" si="11"/>
        <v>22.6</v>
      </c>
      <c r="H133" s="26">
        <v>4</v>
      </c>
      <c r="I133" s="26"/>
      <c r="J133" s="26"/>
      <c r="K133" s="26">
        <f t="shared" si="12"/>
        <v>8</v>
      </c>
      <c r="L133" s="171" t="s">
        <v>144</v>
      </c>
      <c r="V133" s="1"/>
    </row>
    <row r="134" spans="1:22" s="5" customFormat="1" ht="13.5">
      <c r="A134" s="164" t="s">
        <v>159</v>
      </c>
      <c r="B134" s="165" t="s">
        <v>138</v>
      </c>
      <c r="C134" s="165" t="s">
        <v>143</v>
      </c>
      <c r="D134" s="165" t="s">
        <v>140</v>
      </c>
      <c r="E134" s="166">
        <v>11.29</v>
      </c>
      <c r="F134" s="167">
        <f>5</f>
        <v>5</v>
      </c>
      <c r="G134" s="168">
        <f t="shared" si="11"/>
        <v>56.449999999999996</v>
      </c>
      <c r="H134" s="26">
        <v>4</v>
      </c>
      <c r="I134" s="26"/>
      <c r="J134" s="26"/>
      <c r="K134" s="26">
        <f t="shared" si="12"/>
        <v>20</v>
      </c>
      <c r="L134" s="171" t="s">
        <v>144</v>
      </c>
      <c r="V134" s="1"/>
    </row>
    <row r="135" spans="1:22" s="5" customFormat="1" ht="13.5">
      <c r="A135" s="164" t="s">
        <v>159</v>
      </c>
      <c r="B135" s="165" t="s">
        <v>138</v>
      </c>
      <c r="C135" s="165" t="s">
        <v>143</v>
      </c>
      <c r="D135" s="165" t="s">
        <v>140</v>
      </c>
      <c r="E135" s="166">
        <v>11.29</v>
      </c>
      <c r="F135" s="167">
        <f>3</f>
        <v>3</v>
      </c>
      <c r="G135" s="168">
        <f t="shared" si="11"/>
        <v>33.87</v>
      </c>
      <c r="H135" s="26">
        <v>4</v>
      </c>
      <c r="I135" s="26"/>
      <c r="J135" s="26"/>
      <c r="K135" s="26">
        <f t="shared" si="12"/>
        <v>12</v>
      </c>
      <c r="L135" s="171" t="s">
        <v>144</v>
      </c>
      <c r="V135" s="1"/>
    </row>
    <row r="136" spans="1:22" s="5" customFormat="1" ht="13.5">
      <c r="A136" s="164" t="s">
        <v>163</v>
      </c>
      <c r="B136" s="165" t="s">
        <v>138</v>
      </c>
      <c r="C136" s="165" t="s">
        <v>143</v>
      </c>
      <c r="D136" s="165" t="s">
        <v>140</v>
      </c>
      <c r="E136" s="166">
        <v>13.59</v>
      </c>
      <c r="F136" s="167">
        <f>1+2</f>
        <v>3</v>
      </c>
      <c r="G136" s="168">
        <f t="shared" si="11"/>
        <v>40.769999999999996</v>
      </c>
      <c r="H136" s="26">
        <v>4.2</v>
      </c>
      <c r="I136" s="26"/>
      <c r="J136" s="26"/>
      <c r="K136" s="26">
        <f t="shared" si="12"/>
        <v>12.600000000000001</v>
      </c>
      <c r="L136" s="171" t="s">
        <v>144</v>
      </c>
      <c r="V136" s="1"/>
    </row>
    <row r="137" spans="1:22" s="5" customFormat="1" ht="13.5">
      <c r="A137" s="172" t="s">
        <v>164</v>
      </c>
      <c r="B137" s="165" t="s">
        <v>138</v>
      </c>
      <c r="C137" s="165" t="s">
        <v>143</v>
      </c>
      <c r="D137" s="165" t="s">
        <v>140</v>
      </c>
      <c r="E137" s="173">
        <v>3.69</v>
      </c>
      <c r="F137" s="167">
        <f>2</f>
        <v>2</v>
      </c>
      <c r="G137" s="168">
        <f t="shared" si="11"/>
        <v>7.38</v>
      </c>
      <c r="H137" s="26">
        <v>1.3</v>
      </c>
      <c r="I137" s="26"/>
      <c r="J137" s="26"/>
      <c r="K137" s="26">
        <f t="shared" si="12"/>
        <v>2.6</v>
      </c>
      <c r="L137" s="171" t="s">
        <v>144</v>
      </c>
      <c r="V137" s="1"/>
    </row>
    <row r="138" spans="1:22" s="5" customFormat="1" ht="13.5">
      <c r="A138" s="164" t="s">
        <v>165</v>
      </c>
      <c r="B138" s="165" t="s">
        <v>138</v>
      </c>
      <c r="C138" s="165" t="s">
        <v>153</v>
      </c>
      <c r="D138" s="165" t="s">
        <v>140</v>
      </c>
      <c r="E138" s="166">
        <v>6.5</v>
      </c>
      <c r="F138" s="167">
        <f>7</f>
        <v>7</v>
      </c>
      <c r="G138" s="168">
        <f t="shared" si="11"/>
        <v>45.5</v>
      </c>
      <c r="H138" s="26">
        <v>2.3</v>
      </c>
      <c r="I138" s="26"/>
      <c r="J138" s="26"/>
      <c r="K138" s="26">
        <f t="shared" si="12"/>
        <v>16.099999999999998</v>
      </c>
      <c r="L138" s="171" t="s">
        <v>144</v>
      </c>
      <c r="V138" s="1"/>
    </row>
    <row r="139" spans="1:22" s="5" customFormat="1" ht="13.5">
      <c r="A139" s="164" t="s">
        <v>166</v>
      </c>
      <c r="B139" s="165" t="s">
        <v>138</v>
      </c>
      <c r="C139" s="165" t="s">
        <v>143</v>
      </c>
      <c r="D139" s="165" t="s">
        <v>140</v>
      </c>
      <c r="E139" s="173">
        <v>4</v>
      </c>
      <c r="F139" s="167">
        <f>1</f>
        <v>1</v>
      </c>
      <c r="G139" s="168">
        <f t="shared" si="11"/>
        <v>4</v>
      </c>
      <c r="H139" s="26">
        <v>1.4</v>
      </c>
      <c r="I139" s="26"/>
      <c r="J139" s="26"/>
      <c r="K139" s="26">
        <f t="shared" si="12"/>
        <v>1.4</v>
      </c>
      <c r="L139" s="171" t="s">
        <v>144</v>
      </c>
      <c r="V139" s="1"/>
    </row>
    <row r="140" spans="1:22" s="5" customFormat="1" ht="13.5">
      <c r="A140" s="164" t="s">
        <v>167</v>
      </c>
      <c r="B140" s="165" t="s">
        <v>138</v>
      </c>
      <c r="C140" s="165" t="s">
        <v>143</v>
      </c>
      <c r="D140" s="165" t="s">
        <v>140</v>
      </c>
      <c r="E140" s="166">
        <v>13.09</v>
      </c>
      <c r="F140" s="167">
        <f>2</f>
        <v>2</v>
      </c>
      <c r="G140" s="168">
        <f t="shared" si="11"/>
        <v>26.18</v>
      </c>
      <c r="H140" s="26">
        <v>4.2</v>
      </c>
      <c r="I140" s="26"/>
      <c r="J140" s="26"/>
      <c r="K140" s="26">
        <f t="shared" si="12"/>
        <v>8.4</v>
      </c>
      <c r="L140" s="171" t="s">
        <v>144</v>
      </c>
      <c r="V140" s="1"/>
    </row>
    <row r="141" spans="1:22" s="5" customFormat="1" ht="13.5">
      <c r="A141" s="164" t="s">
        <v>168</v>
      </c>
      <c r="B141" s="165" t="s">
        <v>138</v>
      </c>
      <c r="C141" s="165" t="s">
        <v>153</v>
      </c>
      <c r="D141" s="165" t="s">
        <v>140</v>
      </c>
      <c r="E141" s="166">
        <v>13.8</v>
      </c>
      <c r="F141" s="167">
        <f>1</f>
        <v>1</v>
      </c>
      <c r="G141" s="168">
        <f t="shared" si="11"/>
        <v>13.8</v>
      </c>
      <c r="H141" s="26">
        <v>4.25</v>
      </c>
      <c r="I141" s="26"/>
      <c r="J141" s="26"/>
      <c r="K141" s="26">
        <f t="shared" si="12"/>
        <v>4.25</v>
      </c>
      <c r="L141" s="171" t="s">
        <v>144</v>
      </c>
      <c r="V141" s="1"/>
    </row>
    <row r="142" spans="1:22" s="5" customFormat="1" ht="13.5">
      <c r="A142" s="164" t="s">
        <v>169</v>
      </c>
      <c r="B142" s="165" t="s">
        <v>138</v>
      </c>
      <c r="C142" s="165" t="s">
        <v>139</v>
      </c>
      <c r="D142" s="165" t="s">
        <v>140</v>
      </c>
      <c r="E142" s="166">
        <v>11.89</v>
      </c>
      <c r="F142" s="167">
        <f>1+3</f>
        <v>4</v>
      </c>
      <c r="G142" s="168">
        <f t="shared" si="11"/>
        <v>47.56</v>
      </c>
      <c r="H142" s="26">
        <v>4.25</v>
      </c>
      <c r="I142" s="26"/>
      <c r="J142" s="26"/>
      <c r="K142" s="26">
        <f t="shared" si="12"/>
        <v>17</v>
      </c>
      <c r="L142" s="171" t="s">
        <v>144</v>
      </c>
      <c r="V142" s="1"/>
    </row>
    <row r="143" spans="1:22" s="5" customFormat="1" ht="13.5">
      <c r="A143" s="164" t="s">
        <v>170</v>
      </c>
      <c r="B143" s="165" t="s">
        <v>138</v>
      </c>
      <c r="C143" s="165" t="s">
        <v>143</v>
      </c>
      <c r="D143" s="165" t="s">
        <v>140</v>
      </c>
      <c r="E143" s="166">
        <v>8.4</v>
      </c>
      <c r="F143" s="167">
        <f>1+30+30+30</f>
        <v>91</v>
      </c>
      <c r="G143" s="168">
        <f t="shared" si="11"/>
        <v>764.4</v>
      </c>
      <c r="H143" s="26">
        <v>2.5</v>
      </c>
      <c r="I143" s="26"/>
      <c r="J143" s="26"/>
      <c r="K143" s="26">
        <f t="shared" si="12"/>
        <v>227.5</v>
      </c>
      <c r="L143" s="171" t="s">
        <v>144</v>
      </c>
      <c r="V143" s="1"/>
    </row>
    <row r="144" spans="1:22" s="5" customFormat="1" ht="13.5">
      <c r="A144" s="164" t="s">
        <v>171</v>
      </c>
      <c r="B144" s="165" t="s">
        <v>138</v>
      </c>
      <c r="C144" s="165" t="s">
        <v>146</v>
      </c>
      <c r="D144" s="165" t="s">
        <v>140</v>
      </c>
      <c r="E144" s="166">
        <v>47.5</v>
      </c>
      <c r="F144" s="167">
        <v>1</v>
      </c>
      <c r="G144" s="168">
        <f t="shared" si="11"/>
        <v>47.5</v>
      </c>
      <c r="H144" s="26">
        <v>13.5</v>
      </c>
      <c r="I144" s="26"/>
      <c r="J144" s="26"/>
      <c r="K144" s="26">
        <f t="shared" si="12"/>
        <v>13.5</v>
      </c>
      <c r="L144" s="171" t="s">
        <v>144</v>
      </c>
      <c r="V144" s="1"/>
    </row>
    <row r="145" spans="1:22" s="5" customFormat="1" ht="13.5">
      <c r="A145" s="164" t="s">
        <v>172</v>
      </c>
      <c r="B145" s="165" t="s">
        <v>138</v>
      </c>
      <c r="C145" s="165" t="s">
        <v>173</v>
      </c>
      <c r="D145" s="165" t="s">
        <v>140</v>
      </c>
      <c r="E145" s="166">
        <v>126.75</v>
      </c>
      <c r="F145" s="167">
        <f>1</f>
        <v>1</v>
      </c>
      <c r="G145" s="168">
        <f t="shared" si="11"/>
        <v>126.75</v>
      </c>
      <c r="H145" s="26">
        <v>32</v>
      </c>
      <c r="I145" s="26"/>
      <c r="J145" s="26"/>
      <c r="K145" s="26">
        <f t="shared" si="12"/>
        <v>32</v>
      </c>
      <c r="L145" s="171" t="s">
        <v>144</v>
      </c>
      <c r="V145" s="1"/>
    </row>
    <row r="146" spans="1:22" s="5" customFormat="1" ht="13.5">
      <c r="A146" s="164" t="s">
        <v>174</v>
      </c>
      <c r="B146" s="165" t="s">
        <v>138</v>
      </c>
      <c r="C146" s="165" t="s">
        <v>173</v>
      </c>
      <c r="D146" s="165" t="s">
        <v>140</v>
      </c>
      <c r="E146" s="166">
        <v>182</v>
      </c>
      <c r="F146" s="167">
        <f>1+1</f>
        <v>2</v>
      </c>
      <c r="G146" s="168">
        <f t="shared" si="11"/>
        <v>364</v>
      </c>
      <c r="H146" s="26">
        <v>38</v>
      </c>
      <c r="I146" s="26"/>
      <c r="J146" s="26"/>
      <c r="K146" s="26">
        <f t="shared" si="12"/>
        <v>76</v>
      </c>
      <c r="L146" s="171" t="s">
        <v>144</v>
      </c>
      <c r="V146" s="1"/>
    </row>
    <row r="147" spans="1:22" s="5" customFormat="1" ht="13.5">
      <c r="A147" s="164" t="s">
        <v>175</v>
      </c>
      <c r="B147" s="165" t="s">
        <v>138</v>
      </c>
      <c r="C147" s="165" t="s">
        <v>173</v>
      </c>
      <c r="D147" s="165" t="s">
        <v>140</v>
      </c>
      <c r="E147" s="166">
        <v>162.5</v>
      </c>
      <c r="F147" s="167">
        <f>1</f>
        <v>1</v>
      </c>
      <c r="G147" s="168">
        <f t="shared" si="11"/>
        <v>162.5</v>
      </c>
      <c r="H147" s="26">
        <v>42</v>
      </c>
      <c r="I147" s="26"/>
      <c r="J147" s="26"/>
      <c r="K147" s="26">
        <f t="shared" si="12"/>
        <v>42</v>
      </c>
      <c r="L147" s="171" t="s">
        <v>144</v>
      </c>
      <c r="V147" s="1"/>
    </row>
    <row r="148" spans="1:22" s="5" customFormat="1" ht="13.5">
      <c r="A148" s="164" t="s">
        <v>176</v>
      </c>
      <c r="B148" s="165" t="s">
        <v>138</v>
      </c>
      <c r="C148" s="165" t="s">
        <v>173</v>
      </c>
      <c r="D148" s="165" t="s">
        <v>140</v>
      </c>
      <c r="E148" s="173">
        <v>162</v>
      </c>
      <c r="F148" s="167">
        <f>1+1</f>
        <v>2</v>
      </c>
      <c r="G148" s="168">
        <f t="shared" si="11"/>
        <v>324</v>
      </c>
      <c r="H148" s="26">
        <v>44</v>
      </c>
      <c r="I148" s="26"/>
      <c r="J148" s="26"/>
      <c r="K148" s="26">
        <f t="shared" si="12"/>
        <v>88</v>
      </c>
      <c r="L148" s="171" t="s">
        <v>144</v>
      </c>
      <c r="V148" s="1"/>
    </row>
    <row r="149" spans="1:22" s="5" customFormat="1" ht="13.5">
      <c r="A149" s="164" t="s">
        <v>177</v>
      </c>
      <c r="B149" s="165" t="s">
        <v>138</v>
      </c>
      <c r="C149" s="165" t="s">
        <v>178</v>
      </c>
      <c r="D149" s="165" t="s">
        <v>140</v>
      </c>
      <c r="E149" s="166">
        <v>8.8</v>
      </c>
      <c r="F149" s="167">
        <v>1</v>
      </c>
      <c r="G149" s="168">
        <f t="shared" si="11"/>
        <v>8.8</v>
      </c>
      <c r="H149" s="26">
        <v>2.8</v>
      </c>
      <c r="I149" s="26"/>
      <c r="J149" s="26"/>
      <c r="K149" s="26">
        <f t="shared" si="12"/>
        <v>2.8</v>
      </c>
      <c r="L149" s="171" t="s">
        <v>144</v>
      </c>
      <c r="V149" s="1"/>
    </row>
    <row r="150" spans="1:22" s="5" customFormat="1" ht="13.5">
      <c r="A150" s="164" t="s">
        <v>179</v>
      </c>
      <c r="B150" s="165" t="s">
        <v>138</v>
      </c>
      <c r="C150" s="165" t="s">
        <v>178</v>
      </c>
      <c r="D150" s="165" t="s">
        <v>140</v>
      </c>
      <c r="E150" s="166">
        <v>11.6</v>
      </c>
      <c r="F150" s="167">
        <v>2</v>
      </c>
      <c r="G150" s="168">
        <f t="shared" si="11"/>
        <v>23.2</v>
      </c>
      <c r="H150" s="26">
        <v>3.6</v>
      </c>
      <c r="I150" s="26"/>
      <c r="J150" s="26"/>
      <c r="K150" s="26">
        <f t="shared" si="12"/>
        <v>7.2</v>
      </c>
      <c r="L150" s="171" t="s">
        <v>144</v>
      </c>
      <c r="V150" s="1"/>
    </row>
    <row r="151" spans="1:22" s="5" customFormat="1" ht="13.5">
      <c r="A151" s="164" t="s">
        <v>180</v>
      </c>
      <c r="B151" s="165" t="s">
        <v>138</v>
      </c>
      <c r="C151" s="165" t="s">
        <v>178</v>
      </c>
      <c r="D151" s="165" t="s">
        <v>140</v>
      </c>
      <c r="E151" s="166">
        <v>8.8</v>
      </c>
      <c r="F151" s="167">
        <v>2</v>
      </c>
      <c r="G151" s="168">
        <f t="shared" si="11"/>
        <v>17.6</v>
      </c>
      <c r="H151" s="26">
        <v>2.5</v>
      </c>
      <c r="I151" s="26"/>
      <c r="J151" s="26"/>
      <c r="K151" s="26">
        <f t="shared" si="12"/>
        <v>5</v>
      </c>
      <c r="L151" s="171" t="s">
        <v>144</v>
      </c>
      <c r="V151" s="1"/>
    </row>
    <row r="152" spans="1:22" s="5" customFormat="1" ht="13.5">
      <c r="A152" s="164" t="s">
        <v>181</v>
      </c>
      <c r="B152" s="165" t="s">
        <v>138</v>
      </c>
      <c r="C152" s="165" t="s">
        <v>178</v>
      </c>
      <c r="D152" s="165" t="s">
        <v>140</v>
      </c>
      <c r="E152" s="166">
        <v>7.9</v>
      </c>
      <c r="F152" s="167">
        <v>1</v>
      </c>
      <c r="G152" s="168">
        <f t="shared" si="11"/>
        <v>7.9</v>
      </c>
      <c r="H152" s="26">
        <v>2.2</v>
      </c>
      <c r="I152" s="26"/>
      <c r="J152" s="26"/>
      <c r="K152" s="26">
        <f t="shared" si="12"/>
        <v>2.2</v>
      </c>
      <c r="L152" s="171" t="s">
        <v>144</v>
      </c>
      <c r="V152" s="1"/>
    </row>
    <row r="153" spans="1:22" s="5" customFormat="1" ht="13.5">
      <c r="A153" s="164" t="s">
        <v>182</v>
      </c>
      <c r="B153" s="165" t="s">
        <v>138</v>
      </c>
      <c r="C153" s="165" t="s">
        <v>178</v>
      </c>
      <c r="D153" s="165" t="s">
        <v>140</v>
      </c>
      <c r="E153" s="166">
        <v>12.3</v>
      </c>
      <c r="F153" s="167">
        <v>1</v>
      </c>
      <c r="G153" s="168">
        <f t="shared" si="11"/>
        <v>12.3</v>
      </c>
      <c r="H153" s="26">
        <v>3.3</v>
      </c>
      <c r="I153" s="26"/>
      <c r="J153" s="26"/>
      <c r="K153" s="26">
        <f t="shared" si="12"/>
        <v>3.3</v>
      </c>
      <c r="L153" s="171" t="s">
        <v>144</v>
      </c>
      <c r="V153" s="1"/>
    </row>
    <row r="154" spans="1:22" s="5" customFormat="1" ht="13.5">
      <c r="A154" s="164" t="s">
        <v>183</v>
      </c>
      <c r="B154" s="165" t="s">
        <v>138</v>
      </c>
      <c r="C154" s="165" t="s">
        <v>178</v>
      </c>
      <c r="D154" s="165" t="s">
        <v>140</v>
      </c>
      <c r="E154" s="166">
        <v>12.3</v>
      </c>
      <c r="F154" s="167">
        <v>1</v>
      </c>
      <c r="G154" s="168">
        <f t="shared" si="11"/>
        <v>12.3</v>
      </c>
      <c r="H154" s="26">
        <v>3.3</v>
      </c>
      <c r="I154" s="26"/>
      <c r="J154" s="26"/>
      <c r="K154" s="26">
        <f t="shared" si="12"/>
        <v>3.3</v>
      </c>
      <c r="L154" s="171" t="s">
        <v>144</v>
      </c>
      <c r="V154" s="1"/>
    </row>
    <row r="155" spans="1:22" s="5" customFormat="1" ht="13.5">
      <c r="A155" s="164" t="s">
        <v>184</v>
      </c>
      <c r="B155" s="165" t="s">
        <v>138</v>
      </c>
      <c r="C155" s="165" t="s">
        <v>178</v>
      </c>
      <c r="D155" s="165" t="s">
        <v>140</v>
      </c>
      <c r="E155" s="166">
        <v>13.05</v>
      </c>
      <c r="F155" s="167">
        <v>2</v>
      </c>
      <c r="G155" s="168">
        <f t="shared" si="11"/>
        <v>26.1</v>
      </c>
      <c r="H155" s="26">
        <v>3.9</v>
      </c>
      <c r="I155" s="26"/>
      <c r="J155" s="26"/>
      <c r="K155" s="26">
        <f t="shared" si="12"/>
        <v>7.8</v>
      </c>
      <c r="L155" s="171" t="s">
        <v>144</v>
      </c>
      <c r="V155" s="1"/>
    </row>
    <row r="156" spans="1:22" s="5" customFormat="1" ht="13.5">
      <c r="A156" s="164" t="s">
        <v>185</v>
      </c>
      <c r="B156" s="165" t="s">
        <v>138</v>
      </c>
      <c r="C156" s="165" t="s">
        <v>178</v>
      </c>
      <c r="D156" s="165" t="s">
        <v>140</v>
      </c>
      <c r="E156" s="166">
        <v>8.45</v>
      </c>
      <c r="F156" s="167">
        <v>2</v>
      </c>
      <c r="G156" s="168">
        <f t="shared" si="11"/>
        <v>16.9</v>
      </c>
      <c r="H156" s="26">
        <v>2.1</v>
      </c>
      <c r="I156" s="26"/>
      <c r="J156" s="26"/>
      <c r="K156" s="26">
        <f t="shared" si="12"/>
        <v>4.2</v>
      </c>
      <c r="L156" s="171" t="s">
        <v>144</v>
      </c>
      <c r="V156" s="1"/>
    </row>
    <row r="157" spans="1:22" s="5" customFormat="1" ht="13.5">
      <c r="A157" s="164" t="s">
        <v>186</v>
      </c>
      <c r="B157" s="165" t="s">
        <v>138</v>
      </c>
      <c r="C157" s="165" t="s">
        <v>178</v>
      </c>
      <c r="D157" s="165" t="s">
        <v>140</v>
      </c>
      <c r="E157" s="166">
        <v>8.45</v>
      </c>
      <c r="F157" s="167">
        <v>1</v>
      </c>
      <c r="G157" s="168">
        <f t="shared" si="11"/>
        <v>8.45</v>
      </c>
      <c r="H157" s="26">
        <v>2.1</v>
      </c>
      <c r="I157" s="26"/>
      <c r="J157" s="26"/>
      <c r="K157" s="26">
        <f t="shared" si="12"/>
        <v>2.1</v>
      </c>
      <c r="L157" s="171" t="s">
        <v>144</v>
      </c>
      <c r="V157" s="1"/>
    </row>
    <row r="158" spans="1:22" s="5" customFormat="1" ht="13.5">
      <c r="A158" s="164" t="s">
        <v>187</v>
      </c>
      <c r="B158" s="165" t="s">
        <v>138</v>
      </c>
      <c r="C158" s="165" t="s">
        <v>178</v>
      </c>
      <c r="D158" s="165" t="s">
        <v>140</v>
      </c>
      <c r="E158" s="173">
        <v>7.5</v>
      </c>
      <c r="F158" s="167">
        <v>1</v>
      </c>
      <c r="G158" s="168">
        <f t="shared" si="11"/>
        <v>7.5</v>
      </c>
      <c r="H158" s="26">
        <v>1.9</v>
      </c>
      <c r="I158" s="26"/>
      <c r="J158" s="26"/>
      <c r="K158" s="26">
        <f t="shared" si="12"/>
        <v>1.9</v>
      </c>
      <c r="L158" s="171" t="s">
        <v>144</v>
      </c>
      <c r="V158" s="1"/>
    </row>
    <row r="159" spans="1:22" s="5" customFormat="1" ht="13.5">
      <c r="A159" s="164" t="s">
        <v>188</v>
      </c>
      <c r="B159" s="165" t="s">
        <v>138</v>
      </c>
      <c r="C159" s="165" t="s">
        <v>178</v>
      </c>
      <c r="D159" s="165" t="s">
        <v>140</v>
      </c>
      <c r="E159" s="173">
        <v>7</v>
      </c>
      <c r="F159" s="167">
        <v>3</v>
      </c>
      <c r="G159" s="168">
        <f t="shared" si="11"/>
        <v>21</v>
      </c>
      <c r="H159" s="26">
        <v>2.2</v>
      </c>
      <c r="I159" s="26"/>
      <c r="J159" s="26"/>
      <c r="K159" s="26">
        <f t="shared" si="12"/>
        <v>6.6000000000000005</v>
      </c>
      <c r="L159" s="171" t="s">
        <v>144</v>
      </c>
      <c r="V159" s="1"/>
    </row>
    <row r="160" spans="1:22" s="5" customFormat="1" ht="13.5">
      <c r="A160" s="164" t="s">
        <v>189</v>
      </c>
      <c r="B160" s="165" t="s">
        <v>138</v>
      </c>
      <c r="C160" s="165" t="s">
        <v>178</v>
      </c>
      <c r="D160" s="165" t="s">
        <v>140</v>
      </c>
      <c r="E160" s="166">
        <v>13.8</v>
      </c>
      <c r="F160" s="167">
        <v>3</v>
      </c>
      <c r="G160" s="168">
        <f t="shared" si="11"/>
        <v>41.400000000000006</v>
      </c>
      <c r="H160" s="26">
        <v>4.1</v>
      </c>
      <c r="I160" s="26"/>
      <c r="J160" s="26"/>
      <c r="K160" s="26">
        <f t="shared" si="12"/>
        <v>12.299999999999999</v>
      </c>
      <c r="L160" s="171" t="s">
        <v>144</v>
      </c>
      <c r="V160" s="1"/>
    </row>
    <row r="161" spans="1:22" s="5" customFormat="1" ht="13.5">
      <c r="A161" s="164" t="s">
        <v>190</v>
      </c>
      <c r="B161" s="165" t="s">
        <v>138</v>
      </c>
      <c r="C161" s="165" t="s">
        <v>178</v>
      </c>
      <c r="D161" s="165" t="s">
        <v>140</v>
      </c>
      <c r="E161" s="166">
        <v>12.52</v>
      </c>
      <c r="F161" s="167">
        <v>1</v>
      </c>
      <c r="G161" s="168">
        <f t="shared" si="11"/>
        <v>12.52</v>
      </c>
      <c r="H161" s="26">
        <v>4.2</v>
      </c>
      <c r="I161" s="26"/>
      <c r="J161" s="26"/>
      <c r="K161" s="26">
        <f t="shared" si="12"/>
        <v>4.2</v>
      </c>
      <c r="L161" s="171" t="s">
        <v>144</v>
      </c>
      <c r="V161" s="1"/>
    </row>
    <row r="162" spans="1:22" s="5" customFormat="1" ht="13.5">
      <c r="A162" s="164" t="s">
        <v>191</v>
      </c>
      <c r="B162" s="165" t="s">
        <v>138</v>
      </c>
      <c r="C162" s="165" t="s">
        <v>178</v>
      </c>
      <c r="D162" s="165" t="s">
        <v>140</v>
      </c>
      <c r="E162" s="173">
        <v>11.2</v>
      </c>
      <c r="F162" s="167">
        <v>2</v>
      </c>
      <c r="G162" s="168">
        <f t="shared" si="11"/>
        <v>22.4</v>
      </c>
      <c r="H162" s="26">
        <v>3.1</v>
      </c>
      <c r="I162" s="26"/>
      <c r="J162" s="26"/>
      <c r="K162" s="26">
        <f t="shared" si="12"/>
        <v>6.2</v>
      </c>
      <c r="L162" s="171" t="s">
        <v>144</v>
      </c>
      <c r="V162" s="1"/>
    </row>
    <row r="163" spans="1:22" s="5" customFormat="1" ht="13.5">
      <c r="A163" s="164" t="s">
        <v>192</v>
      </c>
      <c r="B163" s="165" t="s">
        <v>138</v>
      </c>
      <c r="C163" s="165" t="s">
        <v>178</v>
      </c>
      <c r="D163" s="165" t="s">
        <v>140</v>
      </c>
      <c r="E163" s="166">
        <v>13.05</v>
      </c>
      <c r="F163" s="167">
        <v>1</v>
      </c>
      <c r="G163" s="168">
        <f t="shared" si="11"/>
        <v>13.05</v>
      </c>
      <c r="H163" s="26">
        <v>4.1</v>
      </c>
      <c r="I163" s="26"/>
      <c r="J163" s="26"/>
      <c r="K163" s="26">
        <f t="shared" si="12"/>
        <v>4.1</v>
      </c>
      <c r="L163" s="171" t="s">
        <v>144</v>
      </c>
      <c r="V163" s="1"/>
    </row>
    <row r="164" spans="1:22" s="5" customFormat="1" ht="13.5">
      <c r="A164" s="164" t="s">
        <v>193</v>
      </c>
      <c r="B164" s="165" t="s">
        <v>138</v>
      </c>
      <c r="C164" s="165" t="s">
        <v>178</v>
      </c>
      <c r="D164" s="165" t="s">
        <v>140</v>
      </c>
      <c r="E164" s="166">
        <v>13.05</v>
      </c>
      <c r="F164" s="167">
        <v>2</v>
      </c>
      <c r="G164" s="168">
        <f t="shared" si="11"/>
        <v>26.1</v>
      </c>
      <c r="H164" s="26">
        <v>4.1</v>
      </c>
      <c r="I164" s="26"/>
      <c r="J164" s="26"/>
      <c r="K164" s="26">
        <f t="shared" si="12"/>
        <v>8.2</v>
      </c>
      <c r="L164" s="171" t="s">
        <v>144</v>
      </c>
      <c r="V164" s="1"/>
    </row>
    <row r="165" spans="1:22" s="5" customFormat="1" ht="13.5">
      <c r="A165" s="164" t="s">
        <v>194</v>
      </c>
      <c r="B165" s="165" t="s">
        <v>138</v>
      </c>
      <c r="C165" s="165" t="s">
        <v>143</v>
      </c>
      <c r="D165" s="165" t="s">
        <v>140</v>
      </c>
      <c r="E165" s="166">
        <v>37.7</v>
      </c>
      <c r="F165" s="167">
        <v>1</v>
      </c>
      <c r="G165" s="168">
        <f t="shared" si="11"/>
        <v>37.7</v>
      </c>
      <c r="H165" s="26">
        <v>13.2</v>
      </c>
      <c r="I165" s="26"/>
      <c r="J165" s="26"/>
      <c r="K165" s="26">
        <f t="shared" si="12"/>
        <v>13.2</v>
      </c>
      <c r="L165" s="171" t="s">
        <v>144</v>
      </c>
      <c r="V165" s="1"/>
    </row>
    <row r="166" spans="1:22" s="5" customFormat="1" ht="13.5">
      <c r="A166" s="164" t="s">
        <v>195</v>
      </c>
      <c r="B166" s="165" t="s">
        <v>138</v>
      </c>
      <c r="C166" s="165" t="s">
        <v>173</v>
      </c>
      <c r="D166" s="165" t="s">
        <v>140</v>
      </c>
      <c r="E166" s="173">
        <v>90</v>
      </c>
      <c r="F166" s="167">
        <f aca="true" t="shared" si="15" ref="F166:F167">1</f>
        <v>1</v>
      </c>
      <c r="G166" s="168">
        <f t="shared" si="11"/>
        <v>90</v>
      </c>
      <c r="H166" s="26">
        <v>24</v>
      </c>
      <c r="I166" s="26"/>
      <c r="J166" s="26"/>
      <c r="K166" s="26">
        <f t="shared" si="12"/>
        <v>24</v>
      </c>
      <c r="L166" s="171" t="s">
        <v>144</v>
      </c>
      <c r="V166" s="1"/>
    </row>
    <row r="167" spans="1:22" s="5" customFormat="1" ht="13.5">
      <c r="A167" s="164" t="s">
        <v>196</v>
      </c>
      <c r="B167" s="165" t="s">
        <v>138</v>
      </c>
      <c r="C167" s="165" t="s">
        <v>173</v>
      </c>
      <c r="D167" s="165" t="s">
        <v>140</v>
      </c>
      <c r="E167" s="173">
        <v>182</v>
      </c>
      <c r="F167" s="167">
        <f t="shared" si="15"/>
        <v>1</v>
      </c>
      <c r="G167" s="168">
        <f t="shared" si="11"/>
        <v>182</v>
      </c>
      <c r="H167" s="26">
        <v>45</v>
      </c>
      <c r="I167" s="26"/>
      <c r="J167" s="26"/>
      <c r="K167" s="26">
        <f t="shared" si="12"/>
        <v>45</v>
      </c>
      <c r="L167" s="171" t="s">
        <v>144</v>
      </c>
      <c r="V167" s="1"/>
    </row>
    <row r="168" spans="1:22" s="5" customFormat="1" ht="13.5">
      <c r="A168" s="164" t="s">
        <v>197</v>
      </c>
      <c r="B168" s="165" t="s">
        <v>138</v>
      </c>
      <c r="C168" s="165" t="s">
        <v>146</v>
      </c>
      <c r="D168" s="165" t="s">
        <v>140</v>
      </c>
      <c r="E168" s="166">
        <v>42</v>
      </c>
      <c r="F168" s="167">
        <v>1</v>
      </c>
      <c r="G168" s="168">
        <f t="shared" si="11"/>
        <v>42</v>
      </c>
      <c r="H168" s="26">
        <v>12</v>
      </c>
      <c r="I168" s="26"/>
      <c r="J168" s="26"/>
      <c r="K168" s="26">
        <f t="shared" si="12"/>
        <v>12</v>
      </c>
      <c r="L168" s="171" t="s">
        <v>144</v>
      </c>
      <c r="V168" s="1"/>
    </row>
    <row r="169" spans="1:22" s="5" customFormat="1" ht="13.5">
      <c r="A169" s="164" t="s">
        <v>198</v>
      </c>
      <c r="B169" s="165" t="s">
        <v>138</v>
      </c>
      <c r="C169" s="165" t="s">
        <v>139</v>
      </c>
      <c r="D169" s="165" t="s">
        <v>140</v>
      </c>
      <c r="E169" s="166">
        <v>15</v>
      </c>
      <c r="F169" s="167">
        <v>2</v>
      </c>
      <c r="G169" s="168">
        <f t="shared" si="11"/>
        <v>30</v>
      </c>
      <c r="H169" s="26">
        <v>5.1</v>
      </c>
      <c r="I169" s="26"/>
      <c r="J169" s="26"/>
      <c r="K169" s="26">
        <f t="shared" si="12"/>
        <v>10.2</v>
      </c>
      <c r="L169" s="171"/>
      <c r="V169" s="1"/>
    </row>
    <row r="170" spans="1:22" s="5" customFormat="1" ht="25.5">
      <c r="A170" s="164" t="s">
        <v>199</v>
      </c>
      <c r="B170" s="165" t="s">
        <v>200</v>
      </c>
      <c r="C170" s="165" t="s">
        <v>140</v>
      </c>
      <c r="D170" s="165" t="s">
        <v>201</v>
      </c>
      <c r="E170" s="173">
        <v>25</v>
      </c>
      <c r="F170" s="167">
        <v>1</v>
      </c>
      <c r="G170" s="168">
        <f t="shared" si="11"/>
        <v>25</v>
      </c>
      <c r="H170" s="26">
        <v>8.1</v>
      </c>
      <c r="I170" s="26"/>
      <c r="J170" s="26"/>
      <c r="K170" s="26">
        <f t="shared" si="12"/>
        <v>8.1</v>
      </c>
      <c r="L170" s="171" t="s">
        <v>144</v>
      </c>
      <c r="V170" s="1"/>
    </row>
    <row r="171" spans="1:22" s="5" customFormat="1" ht="13.5">
      <c r="A171" s="164" t="s">
        <v>202</v>
      </c>
      <c r="B171" s="165" t="s">
        <v>200</v>
      </c>
      <c r="C171" s="165" t="s">
        <v>140</v>
      </c>
      <c r="D171" s="165" t="s">
        <v>203</v>
      </c>
      <c r="E171" s="173">
        <v>50</v>
      </c>
      <c r="F171" s="167">
        <v>1</v>
      </c>
      <c r="G171" s="168">
        <f t="shared" si="11"/>
        <v>50</v>
      </c>
      <c r="H171" s="26">
        <v>17.1</v>
      </c>
      <c r="I171" s="26"/>
      <c r="J171" s="26"/>
      <c r="K171" s="26">
        <f t="shared" si="12"/>
        <v>17.1</v>
      </c>
      <c r="L171" s="171" t="s">
        <v>144</v>
      </c>
      <c r="V171" s="1"/>
    </row>
    <row r="172" spans="1:22" s="5" customFormat="1" ht="13.5">
      <c r="A172" s="164" t="s">
        <v>204</v>
      </c>
      <c r="B172" s="165" t="s">
        <v>200</v>
      </c>
      <c r="C172" s="165" t="s">
        <v>140</v>
      </c>
      <c r="D172" s="165" t="s">
        <v>201</v>
      </c>
      <c r="E172" s="173">
        <v>35</v>
      </c>
      <c r="F172" s="167">
        <v>13</v>
      </c>
      <c r="G172" s="168">
        <f t="shared" si="11"/>
        <v>455</v>
      </c>
      <c r="H172" s="26">
        <v>11</v>
      </c>
      <c r="I172" s="26"/>
      <c r="J172" s="26"/>
      <c r="K172" s="26">
        <f t="shared" si="12"/>
        <v>143</v>
      </c>
      <c r="L172" s="171" t="s">
        <v>144</v>
      </c>
      <c r="V172" s="1"/>
    </row>
    <row r="173" spans="1:22" s="5" customFormat="1" ht="13.5">
      <c r="A173" s="164" t="s">
        <v>205</v>
      </c>
      <c r="B173" s="165" t="s">
        <v>200</v>
      </c>
      <c r="C173" s="165" t="s">
        <v>140</v>
      </c>
      <c r="D173" s="165" t="s">
        <v>206</v>
      </c>
      <c r="E173" s="166">
        <v>18.5</v>
      </c>
      <c r="F173" s="167">
        <v>1</v>
      </c>
      <c r="G173" s="168">
        <f t="shared" si="11"/>
        <v>18.5</v>
      </c>
      <c r="H173" s="26">
        <v>6.2</v>
      </c>
      <c r="I173" s="26"/>
      <c r="J173" s="26"/>
      <c r="K173" s="26">
        <f t="shared" si="12"/>
        <v>6.2</v>
      </c>
      <c r="L173" s="171" t="s">
        <v>144</v>
      </c>
      <c r="V173" s="1"/>
    </row>
    <row r="174" spans="1:22" s="5" customFormat="1" ht="13.5">
      <c r="A174" s="164" t="s">
        <v>207</v>
      </c>
      <c r="B174" s="165" t="s">
        <v>200</v>
      </c>
      <c r="C174" s="165" t="s">
        <v>140</v>
      </c>
      <c r="D174" s="165" t="s">
        <v>208</v>
      </c>
      <c r="E174" s="173">
        <v>120</v>
      </c>
      <c r="F174" s="167">
        <v>1</v>
      </c>
      <c r="G174" s="168">
        <f t="shared" si="11"/>
        <v>120</v>
      </c>
      <c r="H174" s="26">
        <v>34.5</v>
      </c>
      <c r="I174" s="26"/>
      <c r="J174" s="26"/>
      <c r="K174" s="26">
        <f t="shared" si="12"/>
        <v>34.5</v>
      </c>
      <c r="L174" s="171" t="s">
        <v>144</v>
      </c>
      <c r="V174" s="1"/>
    </row>
    <row r="175" spans="1:22" s="5" customFormat="1" ht="13.5">
      <c r="A175" s="164" t="s">
        <v>209</v>
      </c>
      <c r="B175" s="165" t="s">
        <v>138</v>
      </c>
      <c r="C175" s="165" t="s">
        <v>146</v>
      </c>
      <c r="D175" s="165" t="s">
        <v>140</v>
      </c>
      <c r="E175" s="173">
        <v>54</v>
      </c>
      <c r="F175" s="167">
        <v>1</v>
      </c>
      <c r="G175" s="168">
        <f t="shared" si="11"/>
        <v>54</v>
      </c>
      <c r="H175" s="26">
        <v>17.5</v>
      </c>
      <c r="I175" s="26"/>
      <c r="J175" s="26"/>
      <c r="K175" s="26">
        <f t="shared" si="12"/>
        <v>17.5</v>
      </c>
      <c r="L175" s="171" t="s">
        <v>144</v>
      </c>
      <c r="V175" s="1"/>
    </row>
    <row r="176" spans="1:22" s="5" customFormat="1" ht="13.5">
      <c r="A176" s="164" t="s">
        <v>210</v>
      </c>
      <c r="B176" s="165" t="s">
        <v>138</v>
      </c>
      <c r="C176" s="165" t="s">
        <v>146</v>
      </c>
      <c r="D176" s="165" t="s">
        <v>140</v>
      </c>
      <c r="E176" s="173">
        <v>57</v>
      </c>
      <c r="F176" s="167">
        <f>1+1+1+1</f>
        <v>4</v>
      </c>
      <c r="G176" s="168">
        <f t="shared" si="11"/>
        <v>228</v>
      </c>
      <c r="H176" s="26">
        <v>12</v>
      </c>
      <c r="I176" s="26"/>
      <c r="J176" s="26"/>
      <c r="K176" s="26">
        <f t="shared" si="12"/>
        <v>48</v>
      </c>
      <c r="L176" s="171" t="s">
        <v>144</v>
      </c>
      <c r="V176" s="1"/>
    </row>
    <row r="177" spans="1:22" s="5" customFormat="1" ht="13.5">
      <c r="A177" s="164" t="s">
        <v>211</v>
      </c>
      <c r="B177" s="165" t="s">
        <v>138</v>
      </c>
      <c r="C177" s="165" t="s">
        <v>139</v>
      </c>
      <c r="D177" s="165" t="s">
        <v>140</v>
      </c>
      <c r="E177" s="173">
        <v>37</v>
      </c>
      <c r="F177" s="167">
        <f>1</f>
        <v>1</v>
      </c>
      <c r="G177" s="168">
        <f t="shared" si="11"/>
        <v>37</v>
      </c>
      <c r="H177" s="26">
        <v>12.5</v>
      </c>
      <c r="I177" s="26"/>
      <c r="J177" s="26"/>
      <c r="K177" s="26">
        <f t="shared" si="12"/>
        <v>12.5</v>
      </c>
      <c r="L177" s="171" t="s">
        <v>144</v>
      </c>
      <c r="V177" s="1"/>
    </row>
    <row r="178" spans="1:22" s="5" customFormat="1" ht="13.5">
      <c r="A178" s="164" t="s">
        <v>198</v>
      </c>
      <c r="B178" s="165" t="s">
        <v>138</v>
      </c>
      <c r="C178" s="165" t="s">
        <v>139</v>
      </c>
      <c r="D178" s="165" t="s">
        <v>140</v>
      </c>
      <c r="E178" s="166">
        <v>15</v>
      </c>
      <c r="F178" s="167">
        <f>3</f>
        <v>3</v>
      </c>
      <c r="G178" s="168">
        <f t="shared" si="11"/>
        <v>45</v>
      </c>
      <c r="H178" s="26">
        <v>4.5</v>
      </c>
      <c r="I178" s="26"/>
      <c r="J178" s="26"/>
      <c r="K178" s="26">
        <f t="shared" si="12"/>
        <v>13.5</v>
      </c>
      <c r="L178" s="171" t="s">
        <v>144</v>
      </c>
      <c r="V178" s="1"/>
    </row>
    <row r="179" spans="1:22" s="5" customFormat="1" ht="13.5">
      <c r="A179" s="164" t="s">
        <v>212</v>
      </c>
      <c r="B179" s="165" t="s">
        <v>138</v>
      </c>
      <c r="C179" s="165" t="s">
        <v>178</v>
      </c>
      <c r="D179" s="165" t="s">
        <v>140</v>
      </c>
      <c r="E179" s="166">
        <v>7</v>
      </c>
      <c r="F179" s="167">
        <v>2</v>
      </c>
      <c r="G179" s="168">
        <f t="shared" si="11"/>
        <v>14</v>
      </c>
      <c r="H179" s="26">
        <v>1.8</v>
      </c>
      <c r="I179" s="26"/>
      <c r="J179" s="26"/>
      <c r="K179" s="26">
        <f t="shared" si="12"/>
        <v>3.6</v>
      </c>
      <c r="L179" s="171" t="s">
        <v>144</v>
      </c>
      <c r="V179" s="1"/>
    </row>
    <row r="180" spans="1:22" s="5" customFormat="1" ht="13.5">
      <c r="A180" s="164" t="s">
        <v>213</v>
      </c>
      <c r="B180" s="165" t="s">
        <v>138</v>
      </c>
      <c r="C180" s="165" t="s">
        <v>178</v>
      </c>
      <c r="D180" s="165" t="s">
        <v>140</v>
      </c>
      <c r="E180" s="173">
        <v>8.45</v>
      </c>
      <c r="F180" s="167">
        <v>2</v>
      </c>
      <c r="G180" s="168">
        <f t="shared" si="11"/>
        <v>16.9</v>
      </c>
      <c r="H180" s="26">
        <v>2.1</v>
      </c>
      <c r="I180" s="26"/>
      <c r="J180" s="26"/>
      <c r="K180" s="26">
        <f t="shared" si="12"/>
        <v>4.2</v>
      </c>
      <c r="L180" s="171" t="s">
        <v>144</v>
      </c>
      <c r="V180" s="1"/>
    </row>
    <row r="181" spans="1:22" s="5" customFormat="1" ht="13.5">
      <c r="A181" s="164" t="s">
        <v>214</v>
      </c>
      <c r="B181" s="165" t="s">
        <v>138</v>
      </c>
      <c r="C181" s="165" t="s">
        <v>178</v>
      </c>
      <c r="D181" s="165" t="s">
        <v>140</v>
      </c>
      <c r="E181" s="166">
        <v>9</v>
      </c>
      <c r="F181" s="167">
        <v>1</v>
      </c>
      <c r="G181" s="168">
        <f t="shared" si="11"/>
        <v>9</v>
      </c>
      <c r="H181" s="26">
        <v>2.4</v>
      </c>
      <c r="I181" s="26"/>
      <c r="J181" s="26"/>
      <c r="K181" s="26">
        <f t="shared" si="12"/>
        <v>2.4</v>
      </c>
      <c r="L181" s="171" t="s">
        <v>144</v>
      </c>
      <c r="V181" s="1"/>
    </row>
    <row r="182" spans="1:22" s="5" customFormat="1" ht="13.5">
      <c r="A182" s="164" t="s">
        <v>215</v>
      </c>
      <c r="B182" s="165" t="s">
        <v>138</v>
      </c>
      <c r="C182" s="165" t="s">
        <v>178</v>
      </c>
      <c r="D182" s="165" t="s">
        <v>140</v>
      </c>
      <c r="E182" s="173">
        <v>13.05</v>
      </c>
      <c r="F182" s="167">
        <v>1</v>
      </c>
      <c r="G182" s="168">
        <f t="shared" si="11"/>
        <v>13.05</v>
      </c>
      <c r="H182" s="26">
        <v>3.6</v>
      </c>
      <c r="I182" s="26"/>
      <c r="J182" s="26"/>
      <c r="K182" s="26">
        <f t="shared" si="12"/>
        <v>3.6</v>
      </c>
      <c r="L182" s="171" t="s">
        <v>144</v>
      </c>
      <c r="V182" s="1"/>
    </row>
    <row r="183" spans="1:22" s="5" customFormat="1" ht="13.5">
      <c r="A183" s="164" t="s">
        <v>216</v>
      </c>
      <c r="B183" s="165" t="s">
        <v>138</v>
      </c>
      <c r="C183" s="165" t="s">
        <v>178</v>
      </c>
      <c r="D183" s="165" t="s">
        <v>140</v>
      </c>
      <c r="E183" s="166">
        <v>8.2</v>
      </c>
      <c r="F183" s="167">
        <v>1</v>
      </c>
      <c r="G183" s="168">
        <f t="shared" si="11"/>
        <v>8.2</v>
      </c>
      <c r="H183" s="26">
        <v>2.1</v>
      </c>
      <c r="I183" s="26"/>
      <c r="J183" s="26"/>
      <c r="K183" s="26">
        <f t="shared" si="12"/>
        <v>2.1</v>
      </c>
      <c r="L183" s="171" t="s">
        <v>144</v>
      </c>
      <c r="V183" s="1"/>
    </row>
    <row r="184" spans="1:22" s="5" customFormat="1" ht="13.5">
      <c r="A184" s="164" t="s">
        <v>217</v>
      </c>
      <c r="B184" s="165" t="s">
        <v>138</v>
      </c>
      <c r="C184" s="165" t="s">
        <v>178</v>
      </c>
      <c r="D184" s="165" t="s">
        <v>140</v>
      </c>
      <c r="E184" s="166">
        <v>11.6</v>
      </c>
      <c r="F184" s="167">
        <v>2</v>
      </c>
      <c r="G184" s="168">
        <f t="shared" si="11"/>
        <v>23.2</v>
      </c>
      <c r="H184" s="26">
        <v>3.8</v>
      </c>
      <c r="I184" s="26"/>
      <c r="J184" s="26"/>
      <c r="K184" s="26">
        <f t="shared" si="12"/>
        <v>7.6</v>
      </c>
      <c r="L184" s="171" t="s">
        <v>144</v>
      </c>
      <c r="V184" s="1"/>
    </row>
    <row r="185" spans="1:22" s="5" customFormat="1" ht="13.5">
      <c r="A185" s="164" t="s">
        <v>218</v>
      </c>
      <c r="B185" s="165" t="s">
        <v>138</v>
      </c>
      <c r="C185" s="165" t="s">
        <v>178</v>
      </c>
      <c r="D185" s="165" t="s">
        <v>140</v>
      </c>
      <c r="E185" s="173">
        <v>8.5</v>
      </c>
      <c r="F185" s="167">
        <v>3</v>
      </c>
      <c r="G185" s="168">
        <f t="shared" si="11"/>
        <v>25.5</v>
      </c>
      <c r="H185" s="26">
        <v>2.4</v>
      </c>
      <c r="I185" s="26"/>
      <c r="J185" s="26"/>
      <c r="K185" s="26">
        <f t="shared" si="12"/>
        <v>7.199999999999999</v>
      </c>
      <c r="L185" s="171" t="s">
        <v>144</v>
      </c>
      <c r="V185" s="1"/>
    </row>
    <row r="186" spans="1:22" s="5" customFormat="1" ht="13.5">
      <c r="A186" s="164" t="s">
        <v>219</v>
      </c>
      <c r="B186" s="165" t="s">
        <v>138</v>
      </c>
      <c r="C186" s="165" t="s">
        <v>178</v>
      </c>
      <c r="D186" s="165" t="s">
        <v>140</v>
      </c>
      <c r="E186" s="173">
        <v>6.6</v>
      </c>
      <c r="F186" s="167">
        <v>2</v>
      </c>
      <c r="G186" s="168">
        <f t="shared" si="11"/>
        <v>13.2</v>
      </c>
      <c r="H186" s="26">
        <v>1.9</v>
      </c>
      <c r="I186" s="26"/>
      <c r="J186" s="26"/>
      <c r="K186" s="26">
        <f t="shared" si="12"/>
        <v>3.8</v>
      </c>
      <c r="L186" s="171" t="s">
        <v>144</v>
      </c>
      <c r="V186" s="1"/>
    </row>
    <row r="187" spans="1:22" s="5" customFormat="1" ht="13.5">
      <c r="A187" s="164" t="s">
        <v>220</v>
      </c>
      <c r="B187" s="165" t="s">
        <v>138</v>
      </c>
      <c r="C187" s="165" t="s">
        <v>178</v>
      </c>
      <c r="D187" s="165" t="s">
        <v>140</v>
      </c>
      <c r="E187" s="166">
        <v>14.1</v>
      </c>
      <c r="F187" s="167">
        <v>1</v>
      </c>
      <c r="G187" s="168">
        <f t="shared" si="11"/>
        <v>14.1</v>
      </c>
      <c r="H187" s="26">
        <v>4.1</v>
      </c>
      <c r="I187" s="26"/>
      <c r="J187" s="26"/>
      <c r="K187" s="26">
        <f t="shared" si="12"/>
        <v>4.1</v>
      </c>
      <c r="L187" s="171" t="s">
        <v>144</v>
      </c>
      <c r="V187" s="1"/>
    </row>
    <row r="188" spans="1:22" s="5" customFormat="1" ht="13.5">
      <c r="A188" s="164" t="s">
        <v>221</v>
      </c>
      <c r="B188" s="165" t="s">
        <v>138</v>
      </c>
      <c r="C188" s="165" t="s">
        <v>178</v>
      </c>
      <c r="D188" s="165" t="s">
        <v>140</v>
      </c>
      <c r="E188" s="173">
        <v>7.4</v>
      </c>
      <c r="F188" s="167">
        <v>2</v>
      </c>
      <c r="G188" s="168">
        <f t="shared" si="11"/>
        <v>14.8</v>
      </c>
      <c r="H188" s="26">
        <v>2.1</v>
      </c>
      <c r="I188" s="26"/>
      <c r="J188" s="26"/>
      <c r="K188" s="26">
        <f t="shared" si="12"/>
        <v>4.2</v>
      </c>
      <c r="L188" s="171" t="s">
        <v>144</v>
      </c>
      <c r="V188" s="1"/>
    </row>
    <row r="189" spans="1:22" s="5" customFormat="1" ht="13.5">
      <c r="A189" s="164" t="s">
        <v>222</v>
      </c>
      <c r="B189" s="165" t="s">
        <v>138</v>
      </c>
      <c r="C189" s="165" t="s">
        <v>178</v>
      </c>
      <c r="D189" s="165" t="s">
        <v>140</v>
      </c>
      <c r="E189" s="166">
        <v>7.9</v>
      </c>
      <c r="F189" s="167">
        <v>2</v>
      </c>
      <c r="G189" s="168">
        <f t="shared" si="11"/>
        <v>15.8</v>
      </c>
      <c r="H189" s="26">
        <v>2.25</v>
      </c>
      <c r="I189" s="26"/>
      <c r="J189" s="26"/>
      <c r="K189" s="26">
        <f t="shared" si="12"/>
        <v>4.5</v>
      </c>
      <c r="L189" s="171" t="s">
        <v>144</v>
      </c>
      <c r="V189" s="1"/>
    </row>
    <row r="190" spans="1:22" s="5" customFormat="1" ht="13.5">
      <c r="A190" s="164" t="s">
        <v>223</v>
      </c>
      <c r="B190" s="165" t="s">
        <v>200</v>
      </c>
      <c r="C190" s="165" t="s">
        <v>140</v>
      </c>
      <c r="D190" s="165" t="s">
        <v>224</v>
      </c>
      <c r="E190" s="173">
        <v>23</v>
      </c>
      <c r="F190" s="167">
        <v>5</v>
      </c>
      <c r="G190" s="168">
        <f t="shared" si="11"/>
        <v>115</v>
      </c>
      <c r="H190" s="26">
        <v>7.1</v>
      </c>
      <c r="I190" s="26"/>
      <c r="J190" s="26"/>
      <c r="K190" s="26">
        <f t="shared" si="12"/>
        <v>35.5</v>
      </c>
      <c r="L190" s="171" t="s">
        <v>144</v>
      </c>
      <c r="V190" s="1"/>
    </row>
    <row r="191" spans="1:22" s="5" customFormat="1" ht="13.5">
      <c r="A191" s="164" t="s">
        <v>225</v>
      </c>
      <c r="B191" s="165" t="s">
        <v>200</v>
      </c>
      <c r="C191" s="165" t="s">
        <v>140</v>
      </c>
      <c r="D191" s="165" t="s">
        <v>224</v>
      </c>
      <c r="E191" s="173">
        <v>63</v>
      </c>
      <c r="F191" s="167">
        <v>2</v>
      </c>
      <c r="G191" s="168">
        <f t="shared" si="11"/>
        <v>126</v>
      </c>
      <c r="H191" s="26">
        <v>16.5</v>
      </c>
      <c r="I191" s="26"/>
      <c r="J191" s="26"/>
      <c r="K191" s="26">
        <f t="shared" si="12"/>
        <v>33</v>
      </c>
      <c r="L191" s="171" t="s">
        <v>144</v>
      </c>
      <c r="V191" s="1"/>
    </row>
    <row r="192" spans="1:22" s="5" customFormat="1" ht="13.5">
      <c r="A192" s="164" t="s">
        <v>226</v>
      </c>
      <c r="B192" s="165" t="s">
        <v>138</v>
      </c>
      <c r="C192" s="165" t="s">
        <v>139</v>
      </c>
      <c r="D192" s="165" t="s">
        <v>140</v>
      </c>
      <c r="E192" s="166">
        <v>16.8</v>
      </c>
      <c r="F192" s="167">
        <f>1</f>
        <v>1</v>
      </c>
      <c r="G192" s="168">
        <f t="shared" si="11"/>
        <v>16.8</v>
      </c>
      <c r="H192" s="26">
        <v>5.1</v>
      </c>
      <c r="I192" s="26"/>
      <c r="J192" s="26"/>
      <c r="K192" s="26">
        <f t="shared" si="12"/>
        <v>5.1</v>
      </c>
      <c r="L192" s="171" t="s">
        <v>144</v>
      </c>
      <c r="V192" s="1"/>
    </row>
    <row r="193" spans="1:22" s="5" customFormat="1" ht="13.5">
      <c r="A193" s="164" t="s">
        <v>227</v>
      </c>
      <c r="B193" s="165" t="s">
        <v>138</v>
      </c>
      <c r="C193" s="165" t="s">
        <v>139</v>
      </c>
      <c r="D193" s="165" t="s">
        <v>140</v>
      </c>
      <c r="E193" s="166">
        <v>16.9</v>
      </c>
      <c r="F193" s="167">
        <v>1</v>
      </c>
      <c r="G193" s="168">
        <f t="shared" si="11"/>
        <v>16.9</v>
      </c>
      <c r="H193" s="26">
        <v>5.1</v>
      </c>
      <c r="I193" s="26"/>
      <c r="J193" s="26"/>
      <c r="K193" s="26">
        <f t="shared" si="12"/>
        <v>5.1</v>
      </c>
      <c r="L193" s="171" t="s">
        <v>144</v>
      </c>
      <c r="V193" s="1"/>
    </row>
    <row r="194" spans="1:22" s="5" customFormat="1" ht="13.5">
      <c r="A194" s="164" t="s">
        <v>228</v>
      </c>
      <c r="B194" s="165" t="s">
        <v>138</v>
      </c>
      <c r="C194" s="165" t="s">
        <v>229</v>
      </c>
      <c r="D194" s="165" t="s">
        <v>140</v>
      </c>
      <c r="E194" s="173">
        <v>85</v>
      </c>
      <c r="F194" s="167">
        <f>1+1</f>
        <v>2</v>
      </c>
      <c r="G194" s="168">
        <f t="shared" si="11"/>
        <v>170</v>
      </c>
      <c r="H194" s="26">
        <v>23</v>
      </c>
      <c r="I194" s="26"/>
      <c r="J194" s="26"/>
      <c r="K194" s="26">
        <f t="shared" si="12"/>
        <v>46</v>
      </c>
      <c r="L194" s="171" t="s">
        <v>144</v>
      </c>
      <c r="V194" s="1"/>
    </row>
    <row r="195" spans="1:22" s="5" customFormat="1" ht="13.5">
      <c r="A195" s="164" t="s">
        <v>230</v>
      </c>
      <c r="B195" s="165" t="s">
        <v>138</v>
      </c>
      <c r="C195" s="165" t="s">
        <v>229</v>
      </c>
      <c r="D195" s="165" t="s">
        <v>140</v>
      </c>
      <c r="E195" s="173">
        <v>21.3</v>
      </c>
      <c r="F195" s="167">
        <f>2</f>
        <v>2</v>
      </c>
      <c r="G195" s="168">
        <f t="shared" si="11"/>
        <v>42.6</v>
      </c>
      <c r="H195" s="26">
        <v>6.1</v>
      </c>
      <c r="I195" s="26"/>
      <c r="J195" s="26"/>
      <c r="K195" s="26">
        <f t="shared" si="12"/>
        <v>12.2</v>
      </c>
      <c r="L195" s="171" t="s">
        <v>144</v>
      </c>
      <c r="V195" s="1"/>
    </row>
    <row r="196" spans="1:22" s="5" customFormat="1" ht="13.5">
      <c r="A196" s="164" t="s">
        <v>231</v>
      </c>
      <c r="B196" s="165" t="s">
        <v>138</v>
      </c>
      <c r="C196" s="165" t="s">
        <v>229</v>
      </c>
      <c r="D196" s="165" t="s">
        <v>140</v>
      </c>
      <c r="E196" s="166">
        <v>34.7</v>
      </c>
      <c r="F196" s="167">
        <f>1</f>
        <v>1</v>
      </c>
      <c r="G196" s="168">
        <f t="shared" si="11"/>
        <v>34.7</v>
      </c>
      <c r="H196" s="26">
        <v>11.5</v>
      </c>
      <c r="I196" s="26"/>
      <c r="J196" s="26"/>
      <c r="K196" s="26">
        <f t="shared" si="12"/>
        <v>11.5</v>
      </c>
      <c r="L196" s="171" t="s">
        <v>144</v>
      </c>
      <c r="V196" s="1"/>
    </row>
    <row r="197" spans="1:22" s="5" customFormat="1" ht="13.5">
      <c r="A197" s="164" t="s">
        <v>232</v>
      </c>
      <c r="B197" s="165" t="s">
        <v>200</v>
      </c>
      <c r="C197" s="165" t="s">
        <v>140</v>
      </c>
      <c r="D197" s="165" t="s">
        <v>224</v>
      </c>
      <c r="E197" s="173">
        <v>25</v>
      </c>
      <c r="F197" s="167">
        <v>1</v>
      </c>
      <c r="G197" s="168">
        <f t="shared" si="11"/>
        <v>25</v>
      </c>
      <c r="H197" s="26">
        <v>7.9</v>
      </c>
      <c r="I197" s="26"/>
      <c r="J197" s="26"/>
      <c r="K197" s="26">
        <f t="shared" si="12"/>
        <v>7.9</v>
      </c>
      <c r="L197" s="171" t="s">
        <v>144</v>
      </c>
      <c r="V197" s="1"/>
    </row>
    <row r="198" spans="1:22" s="5" customFormat="1" ht="13.5">
      <c r="A198" s="164" t="s">
        <v>233</v>
      </c>
      <c r="B198" s="165" t="s">
        <v>200</v>
      </c>
      <c r="C198" s="165" t="s">
        <v>140</v>
      </c>
      <c r="D198" s="165" t="s">
        <v>224</v>
      </c>
      <c r="E198" s="173">
        <v>52</v>
      </c>
      <c r="F198" s="167">
        <v>5</v>
      </c>
      <c r="G198" s="168">
        <f t="shared" si="11"/>
        <v>260</v>
      </c>
      <c r="H198" s="26">
        <v>12.5</v>
      </c>
      <c r="I198" s="26"/>
      <c r="J198" s="26"/>
      <c r="K198" s="26">
        <f t="shared" si="12"/>
        <v>62.5</v>
      </c>
      <c r="L198" s="171" t="s">
        <v>144</v>
      </c>
      <c r="V198" s="1"/>
    </row>
    <row r="199" spans="1:22" s="5" customFormat="1" ht="13.5">
      <c r="A199" s="164" t="s">
        <v>234</v>
      </c>
      <c r="B199" s="165" t="s">
        <v>200</v>
      </c>
      <c r="C199" s="165" t="s">
        <v>140</v>
      </c>
      <c r="D199" s="165" t="s">
        <v>224</v>
      </c>
      <c r="E199" s="173">
        <v>114</v>
      </c>
      <c r="F199" s="167">
        <v>3</v>
      </c>
      <c r="G199" s="168">
        <f t="shared" si="11"/>
        <v>342</v>
      </c>
      <c r="H199" s="26">
        <v>32</v>
      </c>
      <c r="I199" s="26"/>
      <c r="J199" s="26"/>
      <c r="K199" s="26">
        <f t="shared" si="12"/>
        <v>96</v>
      </c>
      <c r="L199" s="171" t="s">
        <v>144</v>
      </c>
      <c r="V199" s="1"/>
    </row>
    <row r="200" spans="1:22" s="5" customFormat="1" ht="13.5">
      <c r="A200" s="164" t="s">
        <v>235</v>
      </c>
      <c r="B200" s="165" t="s">
        <v>200</v>
      </c>
      <c r="C200" s="165" t="s">
        <v>140</v>
      </c>
      <c r="D200" s="165" t="s">
        <v>224</v>
      </c>
      <c r="E200" s="173">
        <v>35</v>
      </c>
      <c r="F200" s="167">
        <v>1</v>
      </c>
      <c r="G200" s="168">
        <f t="shared" si="11"/>
        <v>35</v>
      </c>
      <c r="H200" s="26">
        <v>11.5</v>
      </c>
      <c r="I200" s="26"/>
      <c r="J200" s="26"/>
      <c r="K200" s="26">
        <f t="shared" si="12"/>
        <v>11.5</v>
      </c>
      <c r="L200" s="171" t="s">
        <v>144</v>
      </c>
      <c r="V200" s="1"/>
    </row>
    <row r="201" spans="1:22" s="5" customFormat="1" ht="13.5">
      <c r="A201" s="164" t="s">
        <v>236</v>
      </c>
      <c r="B201" s="165" t="s">
        <v>200</v>
      </c>
      <c r="C201" s="165" t="s">
        <v>140</v>
      </c>
      <c r="D201" s="165" t="s">
        <v>224</v>
      </c>
      <c r="E201" s="173">
        <v>80</v>
      </c>
      <c r="F201" s="167">
        <v>1</v>
      </c>
      <c r="G201" s="168">
        <f t="shared" si="11"/>
        <v>80</v>
      </c>
      <c r="H201" s="26">
        <v>22</v>
      </c>
      <c r="I201" s="26"/>
      <c r="J201" s="26"/>
      <c r="K201" s="26">
        <f t="shared" si="12"/>
        <v>22</v>
      </c>
      <c r="L201" s="171" t="s">
        <v>144</v>
      </c>
      <c r="V201" s="1"/>
    </row>
    <row r="202" spans="1:22" s="5" customFormat="1" ht="14.25">
      <c r="A202" s="174" t="s">
        <v>237</v>
      </c>
      <c r="B202" s="175" t="s">
        <v>138</v>
      </c>
      <c r="C202" s="175" t="s">
        <v>173</v>
      </c>
      <c r="D202" s="175" t="s">
        <v>140</v>
      </c>
      <c r="E202" s="176">
        <v>92</v>
      </c>
      <c r="F202" s="177">
        <f>1</f>
        <v>1</v>
      </c>
      <c r="G202" s="178">
        <f t="shared" si="11"/>
        <v>92</v>
      </c>
      <c r="H202" s="26">
        <v>24</v>
      </c>
      <c r="I202" s="26"/>
      <c r="J202" s="26"/>
      <c r="K202" s="26">
        <f t="shared" si="12"/>
        <v>24</v>
      </c>
      <c r="L202" s="171" t="s">
        <v>144</v>
      </c>
      <c r="V202" s="1"/>
    </row>
    <row r="203" spans="1:22" s="5" customFormat="1" ht="25.5">
      <c r="A203" s="179" t="s">
        <v>238</v>
      </c>
      <c r="B203" s="180" t="s">
        <v>239</v>
      </c>
      <c r="C203" s="180" t="s">
        <v>240</v>
      </c>
      <c r="D203" s="180" t="s">
        <v>241</v>
      </c>
      <c r="E203" s="181">
        <v>0.48</v>
      </c>
      <c r="F203" s="182">
        <v>146</v>
      </c>
      <c r="G203" s="183">
        <f t="shared" si="11"/>
        <v>70.08</v>
      </c>
      <c r="H203" s="26">
        <v>0.1</v>
      </c>
      <c r="I203" s="26"/>
      <c r="J203" s="26"/>
      <c r="K203" s="26">
        <f t="shared" si="12"/>
        <v>14.600000000000001</v>
      </c>
      <c r="L203" s="171" t="s">
        <v>144</v>
      </c>
      <c r="V203" s="1"/>
    </row>
    <row r="204" spans="1:22" s="5" customFormat="1" ht="25.5">
      <c r="A204" s="164" t="s">
        <v>242</v>
      </c>
      <c r="B204" s="165" t="s">
        <v>239</v>
      </c>
      <c r="C204" s="165" t="s">
        <v>240</v>
      </c>
      <c r="D204" s="165" t="s">
        <v>241</v>
      </c>
      <c r="E204" s="173">
        <v>0.48</v>
      </c>
      <c r="F204" s="167">
        <v>29</v>
      </c>
      <c r="G204" s="168">
        <f t="shared" si="11"/>
        <v>13.92</v>
      </c>
      <c r="H204" s="26">
        <v>0.1</v>
      </c>
      <c r="I204" s="26"/>
      <c r="J204" s="26"/>
      <c r="K204" s="26">
        <f t="shared" si="12"/>
        <v>2.9000000000000004</v>
      </c>
      <c r="L204" s="171" t="s">
        <v>144</v>
      </c>
      <c r="V204" s="1"/>
    </row>
    <row r="205" spans="1:22" s="5" customFormat="1" ht="13.5">
      <c r="A205" s="164" t="s">
        <v>243</v>
      </c>
      <c r="B205" s="165" t="s">
        <v>239</v>
      </c>
      <c r="C205" s="165" t="s">
        <v>244</v>
      </c>
      <c r="D205" s="165" t="s">
        <v>245</v>
      </c>
      <c r="E205" s="173">
        <v>0.03</v>
      </c>
      <c r="F205" s="167">
        <f>180</f>
        <v>180</v>
      </c>
      <c r="G205" s="168">
        <f t="shared" si="11"/>
        <v>5.3999999999999995</v>
      </c>
      <c r="H205" s="26">
        <v>0.015</v>
      </c>
      <c r="I205" s="26"/>
      <c r="J205" s="26"/>
      <c r="K205" s="26">
        <f t="shared" si="12"/>
        <v>2.6999999999999997</v>
      </c>
      <c r="L205" s="171" t="s">
        <v>144</v>
      </c>
      <c r="V205" s="1"/>
    </row>
    <row r="206" spans="1:22" s="5" customFormat="1" ht="13.5">
      <c r="A206" s="164" t="s">
        <v>246</v>
      </c>
      <c r="B206" s="165" t="s">
        <v>239</v>
      </c>
      <c r="C206" s="165" t="s">
        <v>244</v>
      </c>
      <c r="D206" s="165" t="s">
        <v>245</v>
      </c>
      <c r="E206" s="173">
        <v>0.028</v>
      </c>
      <c r="F206" s="167">
        <f>9</f>
        <v>9</v>
      </c>
      <c r="G206" s="168">
        <f t="shared" si="11"/>
        <v>0.252</v>
      </c>
      <c r="H206" s="26">
        <v>0.014</v>
      </c>
      <c r="I206" s="26"/>
      <c r="J206" s="26"/>
      <c r="K206" s="26">
        <f t="shared" si="12"/>
        <v>0.126</v>
      </c>
      <c r="L206" s="171" t="s">
        <v>144</v>
      </c>
      <c r="V206" s="1"/>
    </row>
    <row r="207" spans="1:22" s="5" customFormat="1" ht="25.5">
      <c r="A207" s="172" t="s">
        <v>247</v>
      </c>
      <c r="B207" s="165" t="s">
        <v>239</v>
      </c>
      <c r="C207" s="165" t="s">
        <v>244</v>
      </c>
      <c r="D207" s="165" t="s">
        <v>245</v>
      </c>
      <c r="E207" s="173">
        <v>0.01</v>
      </c>
      <c r="F207" s="167">
        <f>4</f>
        <v>4</v>
      </c>
      <c r="G207" s="168">
        <f t="shared" si="11"/>
        <v>0.04</v>
      </c>
      <c r="H207" s="26">
        <v>0.005</v>
      </c>
      <c r="I207" s="26"/>
      <c r="J207" s="26"/>
      <c r="K207" s="26">
        <f t="shared" si="12"/>
        <v>0.02</v>
      </c>
      <c r="L207" s="171" t="s">
        <v>144</v>
      </c>
      <c r="V207" s="1"/>
    </row>
    <row r="208" spans="1:22" s="5" customFormat="1" ht="13.5">
      <c r="A208" s="164" t="s">
        <v>248</v>
      </c>
      <c r="B208" s="165" t="s">
        <v>239</v>
      </c>
      <c r="C208" s="165" t="s">
        <v>244</v>
      </c>
      <c r="D208" s="165" t="s">
        <v>245</v>
      </c>
      <c r="E208" s="173">
        <v>0.03</v>
      </c>
      <c r="F208" s="167">
        <f>138</f>
        <v>138</v>
      </c>
      <c r="G208" s="168">
        <f t="shared" si="11"/>
        <v>4.14</v>
      </c>
      <c r="H208" s="26">
        <v>0.015</v>
      </c>
      <c r="I208" s="26"/>
      <c r="J208" s="26"/>
      <c r="K208" s="26">
        <f t="shared" si="12"/>
        <v>2.07</v>
      </c>
      <c r="L208" s="171" t="s">
        <v>144</v>
      </c>
      <c r="V208" s="1"/>
    </row>
    <row r="209" spans="1:22" s="5" customFormat="1" ht="13.5">
      <c r="A209" s="164" t="s">
        <v>249</v>
      </c>
      <c r="B209" s="165" t="s">
        <v>239</v>
      </c>
      <c r="C209" s="165" t="s">
        <v>244</v>
      </c>
      <c r="D209" s="165" t="s">
        <v>245</v>
      </c>
      <c r="E209" s="173">
        <v>0.01</v>
      </c>
      <c r="F209" s="167">
        <f>284</f>
        <v>284</v>
      </c>
      <c r="G209" s="168">
        <f t="shared" si="11"/>
        <v>2.84</v>
      </c>
      <c r="H209" s="26">
        <v>0.005</v>
      </c>
      <c r="I209" s="26"/>
      <c r="J209" s="26"/>
      <c r="K209" s="26">
        <f t="shared" si="12"/>
        <v>1.42</v>
      </c>
      <c r="L209" s="171" t="s">
        <v>144</v>
      </c>
      <c r="V209" s="1"/>
    </row>
    <row r="210" spans="1:22" s="5" customFormat="1" ht="13.5">
      <c r="A210" s="164" t="s">
        <v>250</v>
      </c>
      <c r="B210" s="165" t="s">
        <v>239</v>
      </c>
      <c r="C210" s="165" t="s">
        <v>244</v>
      </c>
      <c r="D210" s="165" t="s">
        <v>245</v>
      </c>
      <c r="E210" s="173">
        <v>0.028</v>
      </c>
      <c r="F210" s="167">
        <f>217</f>
        <v>217</v>
      </c>
      <c r="G210" s="168">
        <f t="shared" si="11"/>
        <v>6.0760000000000005</v>
      </c>
      <c r="H210" s="26">
        <v>0.014</v>
      </c>
      <c r="I210" s="26"/>
      <c r="J210" s="26"/>
      <c r="K210" s="26">
        <f t="shared" si="12"/>
        <v>3.0380000000000003</v>
      </c>
      <c r="L210" s="171" t="s">
        <v>144</v>
      </c>
      <c r="V210" s="1"/>
    </row>
    <row r="211" spans="1:22" s="5" customFormat="1" ht="13.5">
      <c r="A211" s="164" t="s">
        <v>251</v>
      </c>
      <c r="B211" s="165" t="s">
        <v>239</v>
      </c>
      <c r="C211" s="165" t="s">
        <v>244</v>
      </c>
      <c r="D211" s="165" t="s">
        <v>245</v>
      </c>
      <c r="E211" s="173">
        <v>0.01</v>
      </c>
      <c r="F211" s="167">
        <f>14+58</f>
        <v>72</v>
      </c>
      <c r="G211" s="168">
        <f t="shared" si="11"/>
        <v>0.72</v>
      </c>
      <c r="H211" s="26">
        <v>0.005</v>
      </c>
      <c r="I211" s="26"/>
      <c r="J211" s="26"/>
      <c r="K211" s="26">
        <f t="shared" si="12"/>
        <v>0.36</v>
      </c>
      <c r="L211" s="171" t="s">
        <v>144</v>
      </c>
      <c r="V211" s="1"/>
    </row>
    <row r="212" spans="1:22" s="5" customFormat="1" ht="13.5">
      <c r="A212" s="164" t="s">
        <v>252</v>
      </c>
      <c r="B212" s="165" t="s">
        <v>239</v>
      </c>
      <c r="C212" s="165" t="s">
        <v>244</v>
      </c>
      <c r="D212" s="165" t="s">
        <v>245</v>
      </c>
      <c r="E212" s="173">
        <v>0.03</v>
      </c>
      <c r="F212" s="167">
        <f>71</f>
        <v>71</v>
      </c>
      <c r="G212" s="168">
        <f t="shared" si="11"/>
        <v>2.13</v>
      </c>
      <c r="H212" s="26">
        <v>0.015</v>
      </c>
      <c r="I212" s="26"/>
      <c r="J212" s="26"/>
      <c r="K212" s="26">
        <f t="shared" si="12"/>
        <v>1.065</v>
      </c>
      <c r="L212" s="171" t="s">
        <v>144</v>
      </c>
      <c r="V212" s="1"/>
    </row>
    <row r="213" spans="1:22" s="5" customFormat="1" ht="13.5">
      <c r="A213" s="164" t="s">
        <v>253</v>
      </c>
      <c r="B213" s="165" t="s">
        <v>239</v>
      </c>
      <c r="C213" s="165" t="s">
        <v>244</v>
      </c>
      <c r="D213" s="165" t="s">
        <v>245</v>
      </c>
      <c r="E213" s="173">
        <v>0.03</v>
      </c>
      <c r="F213" s="167">
        <f>162</f>
        <v>162</v>
      </c>
      <c r="G213" s="168">
        <f t="shared" si="11"/>
        <v>4.859999999999999</v>
      </c>
      <c r="H213" s="26">
        <v>0.015</v>
      </c>
      <c r="I213" s="26"/>
      <c r="J213" s="26"/>
      <c r="K213" s="26">
        <f t="shared" si="12"/>
        <v>2.4299999999999997</v>
      </c>
      <c r="L213" s="171" t="s">
        <v>144</v>
      </c>
      <c r="V213" s="1"/>
    </row>
    <row r="214" spans="1:22" s="5" customFormat="1" ht="13.5">
      <c r="A214" s="164" t="s">
        <v>254</v>
      </c>
      <c r="B214" s="165" t="s">
        <v>239</v>
      </c>
      <c r="C214" s="165" t="s">
        <v>244</v>
      </c>
      <c r="D214" s="165" t="s">
        <v>245</v>
      </c>
      <c r="E214" s="173">
        <v>0.01</v>
      </c>
      <c r="F214" s="167">
        <f>67</f>
        <v>67</v>
      </c>
      <c r="G214" s="168">
        <f t="shared" si="11"/>
        <v>0.67</v>
      </c>
      <c r="H214" s="26">
        <v>0.005</v>
      </c>
      <c r="I214" s="26"/>
      <c r="J214" s="26"/>
      <c r="K214" s="26">
        <f t="shared" si="12"/>
        <v>0.335</v>
      </c>
      <c r="L214" s="171" t="s">
        <v>144</v>
      </c>
      <c r="V214" s="1"/>
    </row>
    <row r="215" spans="1:22" s="5" customFormat="1" ht="13.5">
      <c r="A215" s="164" t="s">
        <v>255</v>
      </c>
      <c r="B215" s="165" t="s">
        <v>239</v>
      </c>
      <c r="C215" s="165" t="s">
        <v>244</v>
      </c>
      <c r="D215" s="165" t="s">
        <v>245</v>
      </c>
      <c r="E215" s="173">
        <v>0.03</v>
      </c>
      <c r="F215" s="167">
        <f>48</f>
        <v>48</v>
      </c>
      <c r="G215" s="168">
        <f t="shared" si="11"/>
        <v>1.44</v>
      </c>
      <c r="H215" s="26">
        <v>0.015</v>
      </c>
      <c r="I215" s="26"/>
      <c r="J215" s="26"/>
      <c r="K215" s="26">
        <f t="shared" si="12"/>
        <v>0.72</v>
      </c>
      <c r="L215" s="171" t="s">
        <v>144</v>
      </c>
      <c r="V215" s="1"/>
    </row>
    <row r="216" spans="1:22" s="5" customFormat="1" ht="13.5">
      <c r="A216" s="164" t="s">
        <v>256</v>
      </c>
      <c r="B216" s="165" t="s">
        <v>239</v>
      </c>
      <c r="C216" s="165" t="s">
        <v>244</v>
      </c>
      <c r="D216" s="165" t="s">
        <v>245</v>
      </c>
      <c r="E216" s="173">
        <v>0.028</v>
      </c>
      <c r="F216" s="167">
        <f>126+38</f>
        <v>164</v>
      </c>
      <c r="G216" s="168">
        <f t="shared" si="11"/>
        <v>4.5920000000000005</v>
      </c>
      <c r="H216" s="26">
        <v>0.014</v>
      </c>
      <c r="I216" s="26"/>
      <c r="J216" s="26"/>
      <c r="K216" s="26">
        <f t="shared" si="12"/>
        <v>2.2960000000000003</v>
      </c>
      <c r="L216" s="171" t="s">
        <v>144</v>
      </c>
      <c r="V216" s="1"/>
    </row>
    <row r="217" spans="1:22" s="5" customFormat="1" ht="25.5">
      <c r="A217" s="164" t="s">
        <v>257</v>
      </c>
      <c r="B217" s="165" t="s">
        <v>239</v>
      </c>
      <c r="C217" s="165" t="s">
        <v>244</v>
      </c>
      <c r="D217" s="165" t="s">
        <v>245</v>
      </c>
      <c r="E217" s="173">
        <v>0.028</v>
      </c>
      <c r="F217" s="167">
        <f>63</f>
        <v>63</v>
      </c>
      <c r="G217" s="168">
        <f t="shared" si="11"/>
        <v>1.764</v>
      </c>
      <c r="H217" s="26">
        <v>0.014</v>
      </c>
      <c r="I217" s="26"/>
      <c r="J217" s="26"/>
      <c r="K217" s="26">
        <f t="shared" si="12"/>
        <v>0.882</v>
      </c>
      <c r="L217" s="171" t="s">
        <v>144</v>
      </c>
      <c r="V217" s="1"/>
    </row>
    <row r="218" spans="1:22" s="5" customFormat="1" ht="25.5">
      <c r="A218" s="164" t="s">
        <v>258</v>
      </c>
      <c r="B218" s="165" t="s">
        <v>239</v>
      </c>
      <c r="C218" s="165" t="s">
        <v>244</v>
      </c>
      <c r="D218" s="165" t="s">
        <v>245</v>
      </c>
      <c r="E218" s="173">
        <v>0.03</v>
      </c>
      <c r="F218" s="167">
        <f>304+85</f>
        <v>389</v>
      </c>
      <c r="G218" s="168">
        <f t="shared" si="11"/>
        <v>11.67</v>
      </c>
      <c r="H218" s="26">
        <v>0.015</v>
      </c>
      <c r="I218" s="26"/>
      <c r="J218" s="26"/>
      <c r="K218" s="26">
        <f t="shared" si="12"/>
        <v>5.835</v>
      </c>
      <c r="L218" s="171" t="s">
        <v>144</v>
      </c>
      <c r="V218" s="1"/>
    </row>
    <row r="219" spans="1:22" s="5" customFormat="1" ht="13.5">
      <c r="A219" s="164" t="s">
        <v>259</v>
      </c>
      <c r="B219" s="165" t="s">
        <v>239</v>
      </c>
      <c r="C219" s="165" t="s">
        <v>244</v>
      </c>
      <c r="D219" s="165" t="s">
        <v>245</v>
      </c>
      <c r="E219" s="173">
        <v>0.01</v>
      </c>
      <c r="F219" s="167">
        <f>526</f>
        <v>526</v>
      </c>
      <c r="G219" s="168">
        <f t="shared" si="11"/>
        <v>5.26</v>
      </c>
      <c r="H219" s="26">
        <v>0.005</v>
      </c>
      <c r="I219" s="26"/>
      <c r="J219" s="26"/>
      <c r="K219" s="26">
        <f t="shared" si="12"/>
        <v>2.63</v>
      </c>
      <c r="L219" s="171" t="s">
        <v>144</v>
      </c>
      <c r="V219" s="1"/>
    </row>
    <row r="220" spans="1:22" s="5" customFormat="1" ht="13.5">
      <c r="A220" s="164" t="s">
        <v>260</v>
      </c>
      <c r="B220" s="165" t="s">
        <v>239</v>
      </c>
      <c r="C220" s="165" t="s">
        <v>244</v>
      </c>
      <c r="D220" s="165" t="s">
        <v>245</v>
      </c>
      <c r="E220" s="173">
        <v>0.01</v>
      </c>
      <c r="F220" s="167">
        <f>1090+50</f>
        <v>1140</v>
      </c>
      <c r="G220" s="168">
        <f t="shared" si="11"/>
        <v>11.4</v>
      </c>
      <c r="H220" s="26">
        <v>0.005</v>
      </c>
      <c r="I220" s="26"/>
      <c r="J220" s="26"/>
      <c r="K220" s="26">
        <f t="shared" si="12"/>
        <v>5.7</v>
      </c>
      <c r="L220" s="171" t="s">
        <v>144</v>
      </c>
      <c r="V220" s="1"/>
    </row>
    <row r="221" spans="1:22" s="5" customFormat="1" ht="25.5">
      <c r="A221" s="164" t="s">
        <v>261</v>
      </c>
      <c r="B221" s="165" t="s">
        <v>239</v>
      </c>
      <c r="C221" s="165" t="s">
        <v>244</v>
      </c>
      <c r="D221" s="165" t="s">
        <v>245</v>
      </c>
      <c r="E221" s="173">
        <v>0.028</v>
      </c>
      <c r="F221" s="167">
        <f>123+6</f>
        <v>129</v>
      </c>
      <c r="G221" s="168">
        <f t="shared" si="11"/>
        <v>3.612</v>
      </c>
      <c r="H221" s="26">
        <v>0.014</v>
      </c>
      <c r="I221" s="26"/>
      <c r="J221" s="26"/>
      <c r="K221" s="26">
        <f t="shared" si="12"/>
        <v>1.806</v>
      </c>
      <c r="L221" s="171" t="s">
        <v>144</v>
      </c>
      <c r="V221" s="1"/>
    </row>
    <row r="222" spans="1:22" s="5" customFormat="1" ht="25.5">
      <c r="A222" s="164" t="s">
        <v>262</v>
      </c>
      <c r="B222" s="165" t="s">
        <v>239</v>
      </c>
      <c r="C222" s="165" t="s">
        <v>244</v>
      </c>
      <c r="D222" s="165" t="s">
        <v>245</v>
      </c>
      <c r="E222" s="173">
        <v>0.01</v>
      </c>
      <c r="F222" s="167">
        <f>785+42</f>
        <v>827</v>
      </c>
      <c r="G222" s="168">
        <f t="shared" si="11"/>
        <v>8.27</v>
      </c>
      <c r="H222" s="26">
        <v>0.005</v>
      </c>
      <c r="I222" s="26"/>
      <c r="J222" s="26"/>
      <c r="K222" s="26">
        <f t="shared" si="12"/>
        <v>4.135</v>
      </c>
      <c r="L222" s="171" t="s">
        <v>144</v>
      </c>
      <c r="V222" s="1"/>
    </row>
    <row r="223" spans="1:22" s="5" customFormat="1" ht="25.5">
      <c r="A223" s="164" t="s">
        <v>263</v>
      </c>
      <c r="B223" s="165" t="s">
        <v>239</v>
      </c>
      <c r="C223" s="165" t="s">
        <v>244</v>
      </c>
      <c r="D223" s="165" t="s">
        <v>245</v>
      </c>
      <c r="E223" s="173">
        <v>0.01</v>
      </c>
      <c r="F223" s="167">
        <f>866+41</f>
        <v>907</v>
      </c>
      <c r="G223" s="168">
        <f t="shared" si="11"/>
        <v>9.07</v>
      </c>
      <c r="H223" s="26">
        <v>0.005</v>
      </c>
      <c r="I223" s="26"/>
      <c r="J223" s="26"/>
      <c r="K223" s="26">
        <f t="shared" si="12"/>
        <v>4.535</v>
      </c>
      <c r="L223" s="171" t="s">
        <v>144</v>
      </c>
      <c r="V223" s="1"/>
    </row>
    <row r="224" spans="1:22" s="5" customFormat="1" ht="25.5">
      <c r="A224" s="164" t="s">
        <v>264</v>
      </c>
      <c r="B224" s="165" t="s">
        <v>239</v>
      </c>
      <c r="C224" s="165" t="s">
        <v>244</v>
      </c>
      <c r="D224" s="165" t="s">
        <v>245</v>
      </c>
      <c r="E224" s="173">
        <v>0.01</v>
      </c>
      <c r="F224" s="167">
        <f>250+300+128</f>
        <v>678</v>
      </c>
      <c r="G224" s="168">
        <f t="shared" si="11"/>
        <v>6.78</v>
      </c>
      <c r="H224" s="26">
        <v>0.005</v>
      </c>
      <c r="I224" s="26"/>
      <c r="J224" s="26"/>
      <c r="K224" s="26">
        <f t="shared" si="12"/>
        <v>3.39</v>
      </c>
      <c r="L224" s="171"/>
      <c r="V224" s="1"/>
    </row>
    <row r="225" spans="1:22" s="5" customFormat="1" ht="13.5">
      <c r="A225" s="164" t="s">
        <v>265</v>
      </c>
      <c r="B225" s="165" t="s">
        <v>239</v>
      </c>
      <c r="C225" s="165" t="s">
        <v>244</v>
      </c>
      <c r="D225" s="165" t="s">
        <v>245</v>
      </c>
      <c r="E225" s="173">
        <v>0.01</v>
      </c>
      <c r="F225" s="167">
        <f>131+32</f>
        <v>163</v>
      </c>
      <c r="G225" s="168">
        <f t="shared" si="11"/>
        <v>1.6300000000000001</v>
      </c>
      <c r="H225" s="26">
        <v>0.005</v>
      </c>
      <c r="I225" s="26"/>
      <c r="J225" s="26"/>
      <c r="K225" s="26">
        <f t="shared" si="12"/>
        <v>0.8150000000000001</v>
      </c>
      <c r="L225" s="171" t="s">
        <v>144</v>
      </c>
      <c r="V225" s="1"/>
    </row>
    <row r="226" spans="1:22" s="5" customFormat="1" ht="13.5">
      <c r="A226" s="164" t="s">
        <v>266</v>
      </c>
      <c r="B226" s="165" t="s">
        <v>239</v>
      </c>
      <c r="C226" s="165" t="s">
        <v>244</v>
      </c>
      <c r="D226" s="165" t="s">
        <v>245</v>
      </c>
      <c r="E226" s="173">
        <v>0.01</v>
      </c>
      <c r="F226" s="167">
        <f>34+16</f>
        <v>50</v>
      </c>
      <c r="G226" s="168">
        <f t="shared" si="11"/>
        <v>0.5</v>
      </c>
      <c r="H226" s="26">
        <v>0.005</v>
      </c>
      <c r="I226" s="26"/>
      <c r="J226" s="26"/>
      <c r="K226" s="26">
        <f t="shared" si="12"/>
        <v>0.25</v>
      </c>
      <c r="L226" s="171" t="s">
        <v>144</v>
      </c>
      <c r="V226" s="1"/>
    </row>
    <row r="227" spans="1:22" s="5" customFormat="1" ht="13.5">
      <c r="A227" s="164" t="s">
        <v>267</v>
      </c>
      <c r="B227" s="165" t="s">
        <v>239</v>
      </c>
      <c r="C227" s="165" t="s">
        <v>244</v>
      </c>
      <c r="D227" s="165" t="s">
        <v>245</v>
      </c>
      <c r="E227" s="173">
        <v>0.028</v>
      </c>
      <c r="F227" s="167">
        <f>67</f>
        <v>67</v>
      </c>
      <c r="G227" s="168">
        <f t="shared" si="11"/>
        <v>1.8760000000000001</v>
      </c>
      <c r="H227" s="26">
        <v>0.014</v>
      </c>
      <c r="I227" s="26"/>
      <c r="J227" s="26"/>
      <c r="K227" s="26">
        <f t="shared" si="12"/>
        <v>0.9380000000000001</v>
      </c>
      <c r="L227" s="171" t="s">
        <v>144</v>
      </c>
      <c r="V227" s="1"/>
    </row>
    <row r="228" spans="1:22" s="5" customFormat="1" ht="13.5">
      <c r="A228" s="164" t="s">
        <v>268</v>
      </c>
      <c r="B228" s="165" t="s">
        <v>239</v>
      </c>
      <c r="C228" s="165" t="s">
        <v>244</v>
      </c>
      <c r="D228" s="165" t="s">
        <v>245</v>
      </c>
      <c r="E228" s="173">
        <v>0.01</v>
      </c>
      <c r="F228" s="167">
        <f>53</f>
        <v>53</v>
      </c>
      <c r="G228" s="168">
        <f t="shared" si="11"/>
        <v>0.53</v>
      </c>
      <c r="H228" s="26">
        <v>0.005</v>
      </c>
      <c r="I228" s="26"/>
      <c r="J228" s="26"/>
      <c r="K228" s="26">
        <f t="shared" si="12"/>
        <v>0.265</v>
      </c>
      <c r="L228" s="171" t="s">
        <v>144</v>
      </c>
      <c r="V228" s="1"/>
    </row>
    <row r="229" spans="1:22" s="5" customFormat="1" ht="13.5">
      <c r="A229" s="164" t="s">
        <v>269</v>
      </c>
      <c r="B229" s="165" t="s">
        <v>239</v>
      </c>
      <c r="C229" s="165" t="s">
        <v>244</v>
      </c>
      <c r="D229" s="165" t="s">
        <v>245</v>
      </c>
      <c r="E229" s="173">
        <v>0.01</v>
      </c>
      <c r="F229" s="167">
        <f>509+47</f>
        <v>556</v>
      </c>
      <c r="G229" s="168">
        <f t="shared" si="11"/>
        <v>5.5600000000000005</v>
      </c>
      <c r="H229" s="26">
        <v>0.005</v>
      </c>
      <c r="I229" s="26"/>
      <c r="J229" s="26"/>
      <c r="K229" s="26">
        <f t="shared" si="12"/>
        <v>2.7800000000000002</v>
      </c>
      <c r="L229" s="171" t="s">
        <v>144</v>
      </c>
      <c r="V229" s="1"/>
    </row>
    <row r="230" spans="1:22" s="5" customFormat="1" ht="13.5">
      <c r="A230" s="164" t="s">
        <v>270</v>
      </c>
      <c r="B230" s="165" t="s">
        <v>239</v>
      </c>
      <c r="C230" s="165" t="s">
        <v>244</v>
      </c>
      <c r="D230" s="165" t="s">
        <v>245</v>
      </c>
      <c r="E230" s="173">
        <v>0.01</v>
      </c>
      <c r="F230" s="167">
        <f>42</f>
        <v>42</v>
      </c>
      <c r="G230" s="168">
        <f t="shared" si="11"/>
        <v>0.42</v>
      </c>
      <c r="H230" s="26">
        <v>0.005</v>
      </c>
      <c r="I230" s="26"/>
      <c r="J230" s="26"/>
      <c r="K230" s="26">
        <f t="shared" si="12"/>
        <v>0.21</v>
      </c>
      <c r="L230" s="171" t="s">
        <v>144</v>
      </c>
      <c r="V230" s="1"/>
    </row>
    <row r="231" spans="1:22" s="5" customFormat="1" ht="13.5">
      <c r="A231" s="164" t="s">
        <v>271</v>
      </c>
      <c r="B231" s="165" t="s">
        <v>239</v>
      </c>
      <c r="C231" s="165" t="s">
        <v>244</v>
      </c>
      <c r="D231" s="165" t="s">
        <v>245</v>
      </c>
      <c r="E231" s="173">
        <v>0.028</v>
      </c>
      <c r="F231" s="167">
        <f>114</f>
        <v>114</v>
      </c>
      <c r="G231" s="168">
        <f t="shared" si="11"/>
        <v>3.192</v>
      </c>
      <c r="H231" s="26">
        <v>0.014</v>
      </c>
      <c r="I231" s="26"/>
      <c r="J231" s="26"/>
      <c r="K231" s="26">
        <f t="shared" si="12"/>
        <v>1.596</v>
      </c>
      <c r="L231" s="171" t="s">
        <v>144</v>
      </c>
      <c r="V231" s="1"/>
    </row>
    <row r="232" spans="1:22" s="5" customFormat="1" ht="13.5">
      <c r="A232" s="164" t="s">
        <v>272</v>
      </c>
      <c r="B232" s="165" t="s">
        <v>239</v>
      </c>
      <c r="C232" s="165" t="s">
        <v>244</v>
      </c>
      <c r="D232" s="165" t="s">
        <v>245</v>
      </c>
      <c r="E232" s="173">
        <v>0.01</v>
      </c>
      <c r="F232" s="167">
        <f>191</f>
        <v>191</v>
      </c>
      <c r="G232" s="168">
        <f t="shared" si="11"/>
        <v>1.9100000000000001</v>
      </c>
      <c r="H232" s="26">
        <v>0.005</v>
      </c>
      <c r="I232" s="26"/>
      <c r="J232" s="26"/>
      <c r="K232" s="26">
        <f t="shared" si="12"/>
        <v>0.9550000000000001</v>
      </c>
      <c r="L232" s="171" t="s">
        <v>144</v>
      </c>
      <c r="V232" s="1"/>
    </row>
    <row r="233" spans="1:22" s="5" customFormat="1" ht="13.5">
      <c r="A233" s="164" t="s">
        <v>273</v>
      </c>
      <c r="B233" s="165" t="s">
        <v>239</v>
      </c>
      <c r="C233" s="165" t="s">
        <v>244</v>
      </c>
      <c r="D233" s="165" t="s">
        <v>245</v>
      </c>
      <c r="E233" s="173">
        <v>0.01</v>
      </c>
      <c r="F233" s="167">
        <f>232</f>
        <v>232</v>
      </c>
      <c r="G233" s="168">
        <f t="shared" si="11"/>
        <v>2.32</v>
      </c>
      <c r="H233" s="26">
        <v>0.005</v>
      </c>
      <c r="I233" s="26"/>
      <c r="J233" s="26"/>
      <c r="K233" s="26">
        <f t="shared" si="12"/>
        <v>1.16</v>
      </c>
      <c r="L233" s="171" t="s">
        <v>144</v>
      </c>
      <c r="V233" s="1"/>
    </row>
    <row r="234" spans="1:22" s="5" customFormat="1" ht="13.5">
      <c r="A234" s="164" t="s">
        <v>274</v>
      </c>
      <c r="B234" s="165" t="s">
        <v>239</v>
      </c>
      <c r="C234" s="165" t="s">
        <v>244</v>
      </c>
      <c r="D234" s="165" t="s">
        <v>245</v>
      </c>
      <c r="E234" s="173">
        <v>0.028</v>
      </c>
      <c r="F234" s="167">
        <f>122</f>
        <v>122</v>
      </c>
      <c r="G234" s="168">
        <f t="shared" si="11"/>
        <v>3.416</v>
      </c>
      <c r="H234" s="26">
        <v>0.014</v>
      </c>
      <c r="I234" s="26"/>
      <c r="J234" s="26"/>
      <c r="K234" s="26">
        <f t="shared" si="12"/>
        <v>1.708</v>
      </c>
      <c r="L234" s="171" t="s">
        <v>144</v>
      </c>
      <c r="V234" s="1"/>
    </row>
    <row r="235" spans="1:22" s="5" customFormat="1" ht="13.5">
      <c r="A235" s="164" t="s">
        <v>275</v>
      </c>
      <c r="B235" s="165" t="s">
        <v>239</v>
      </c>
      <c r="C235" s="165" t="s">
        <v>244</v>
      </c>
      <c r="D235" s="165" t="s">
        <v>245</v>
      </c>
      <c r="E235" s="173">
        <v>0.028</v>
      </c>
      <c r="F235" s="167">
        <f>24</f>
        <v>24</v>
      </c>
      <c r="G235" s="168">
        <f t="shared" si="11"/>
        <v>0.672</v>
      </c>
      <c r="H235" s="26">
        <v>0.014</v>
      </c>
      <c r="I235" s="26"/>
      <c r="J235" s="26"/>
      <c r="K235" s="26">
        <f t="shared" si="12"/>
        <v>0.336</v>
      </c>
      <c r="L235" s="171" t="s">
        <v>144</v>
      </c>
      <c r="V235" s="1"/>
    </row>
    <row r="236" spans="1:22" s="5" customFormat="1" ht="25.5">
      <c r="A236" s="164" t="s">
        <v>276</v>
      </c>
      <c r="B236" s="165" t="s">
        <v>239</v>
      </c>
      <c r="C236" s="165" t="s">
        <v>244</v>
      </c>
      <c r="D236" s="165" t="s">
        <v>245</v>
      </c>
      <c r="E236" s="173">
        <v>0.028</v>
      </c>
      <c r="F236" s="167">
        <f>106</f>
        <v>106</v>
      </c>
      <c r="G236" s="168">
        <f t="shared" si="11"/>
        <v>2.968</v>
      </c>
      <c r="H236" s="26">
        <v>0.014</v>
      </c>
      <c r="I236" s="26"/>
      <c r="J236" s="26"/>
      <c r="K236" s="26">
        <f t="shared" si="12"/>
        <v>1.484</v>
      </c>
      <c r="L236" s="171" t="s">
        <v>144</v>
      </c>
      <c r="V236" s="1"/>
    </row>
    <row r="237" spans="1:22" s="5" customFormat="1" ht="13.5">
      <c r="A237" s="164" t="s">
        <v>277</v>
      </c>
      <c r="B237" s="165" t="s">
        <v>239</v>
      </c>
      <c r="C237" s="165" t="s">
        <v>244</v>
      </c>
      <c r="D237" s="165" t="s">
        <v>245</v>
      </c>
      <c r="E237" s="173">
        <v>0.01</v>
      </c>
      <c r="F237" s="167">
        <f>57+24</f>
        <v>81</v>
      </c>
      <c r="G237" s="168">
        <f t="shared" si="11"/>
        <v>0.81</v>
      </c>
      <c r="H237" s="26">
        <v>0.005</v>
      </c>
      <c r="I237" s="26"/>
      <c r="J237" s="26"/>
      <c r="K237" s="26">
        <f t="shared" si="12"/>
        <v>0.405</v>
      </c>
      <c r="L237" s="171" t="s">
        <v>144</v>
      </c>
      <c r="V237" s="1"/>
    </row>
    <row r="238" spans="1:22" s="5" customFormat="1" ht="13.5">
      <c r="A238" s="164" t="s">
        <v>278</v>
      </c>
      <c r="B238" s="165" t="s">
        <v>239</v>
      </c>
      <c r="C238" s="165" t="s">
        <v>244</v>
      </c>
      <c r="D238" s="165" t="s">
        <v>245</v>
      </c>
      <c r="E238" s="173">
        <v>0.028</v>
      </c>
      <c r="F238" s="167">
        <f>25</f>
        <v>25</v>
      </c>
      <c r="G238" s="168">
        <f t="shared" si="11"/>
        <v>0.7000000000000001</v>
      </c>
      <c r="H238" s="26">
        <v>0.014</v>
      </c>
      <c r="I238" s="26"/>
      <c r="J238" s="26"/>
      <c r="K238" s="26">
        <f t="shared" si="12"/>
        <v>0.35000000000000003</v>
      </c>
      <c r="L238" s="171" t="s">
        <v>144</v>
      </c>
      <c r="V238" s="1"/>
    </row>
    <row r="239" spans="1:22" s="5" customFormat="1" ht="13.5">
      <c r="A239" s="164" t="s">
        <v>279</v>
      </c>
      <c r="B239" s="165" t="s">
        <v>239</v>
      </c>
      <c r="C239" s="165" t="s">
        <v>244</v>
      </c>
      <c r="D239" s="165" t="s">
        <v>245</v>
      </c>
      <c r="E239" s="173">
        <v>0.01</v>
      </c>
      <c r="F239" s="167">
        <f>439+35</f>
        <v>474</v>
      </c>
      <c r="G239" s="168">
        <f t="shared" si="11"/>
        <v>4.74</v>
      </c>
      <c r="H239" s="26">
        <v>0.005</v>
      </c>
      <c r="I239" s="26"/>
      <c r="J239" s="26"/>
      <c r="K239" s="26">
        <f t="shared" si="12"/>
        <v>2.37</v>
      </c>
      <c r="L239" s="171" t="s">
        <v>144</v>
      </c>
      <c r="V239" s="1"/>
    </row>
    <row r="240" spans="1:22" s="5" customFormat="1" ht="13.5">
      <c r="A240" s="164" t="s">
        <v>277</v>
      </c>
      <c r="B240" s="165" t="s">
        <v>239</v>
      </c>
      <c r="C240" s="165" t="s">
        <v>244</v>
      </c>
      <c r="D240" s="165" t="s">
        <v>245</v>
      </c>
      <c r="E240" s="173">
        <v>0.01</v>
      </c>
      <c r="F240" s="167">
        <f>126+57</f>
        <v>183</v>
      </c>
      <c r="G240" s="168">
        <f t="shared" si="11"/>
        <v>1.83</v>
      </c>
      <c r="H240" s="26">
        <v>0.005</v>
      </c>
      <c r="I240" s="26"/>
      <c r="J240" s="26"/>
      <c r="K240" s="26">
        <f t="shared" si="12"/>
        <v>0.915</v>
      </c>
      <c r="L240" s="171" t="s">
        <v>144</v>
      </c>
      <c r="V240" s="1"/>
    </row>
    <row r="241" spans="1:22" s="5" customFormat="1" ht="13.5">
      <c r="A241" s="164" t="s">
        <v>269</v>
      </c>
      <c r="B241" s="165" t="s">
        <v>239</v>
      </c>
      <c r="C241" s="165" t="s">
        <v>244</v>
      </c>
      <c r="D241" s="165" t="s">
        <v>245</v>
      </c>
      <c r="E241" s="173">
        <v>0.03</v>
      </c>
      <c r="F241" s="167">
        <f>77+20</f>
        <v>97</v>
      </c>
      <c r="G241" s="168">
        <f t="shared" si="11"/>
        <v>2.9099999999999997</v>
      </c>
      <c r="H241" s="26">
        <v>0.015</v>
      </c>
      <c r="I241" s="26"/>
      <c r="J241" s="26"/>
      <c r="K241" s="26">
        <f t="shared" si="12"/>
        <v>1.4549999999999998</v>
      </c>
      <c r="L241" s="171" t="s">
        <v>144</v>
      </c>
      <c r="V241" s="1"/>
    </row>
    <row r="242" spans="1:22" s="5" customFormat="1" ht="13.5">
      <c r="A242" s="164" t="s">
        <v>269</v>
      </c>
      <c r="B242" s="165" t="s">
        <v>239</v>
      </c>
      <c r="C242" s="165" t="s">
        <v>244</v>
      </c>
      <c r="D242" s="165" t="s">
        <v>245</v>
      </c>
      <c r="E242" s="173">
        <v>0.01</v>
      </c>
      <c r="F242" s="167">
        <f>579+44</f>
        <v>623</v>
      </c>
      <c r="G242" s="168">
        <f t="shared" si="11"/>
        <v>6.23</v>
      </c>
      <c r="H242" s="26">
        <v>0.005</v>
      </c>
      <c r="I242" s="26"/>
      <c r="J242" s="26"/>
      <c r="K242" s="26">
        <f t="shared" si="12"/>
        <v>3.115</v>
      </c>
      <c r="L242" s="171" t="s">
        <v>144</v>
      </c>
      <c r="V242" s="1"/>
    </row>
    <row r="243" spans="1:22" s="5" customFormat="1" ht="13.5">
      <c r="A243" s="164" t="s">
        <v>280</v>
      </c>
      <c r="B243" s="165" t="s">
        <v>239</v>
      </c>
      <c r="C243" s="165" t="s">
        <v>244</v>
      </c>
      <c r="D243" s="165" t="s">
        <v>245</v>
      </c>
      <c r="E243" s="173">
        <v>0.01</v>
      </c>
      <c r="F243" s="167">
        <f>145+49</f>
        <v>194</v>
      </c>
      <c r="G243" s="168">
        <f t="shared" si="11"/>
        <v>1.94</v>
      </c>
      <c r="H243" s="26">
        <v>0.005</v>
      </c>
      <c r="I243" s="26"/>
      <c r="J243" s="26"/>
      <c r="K243" s="26">
        <f t="shared" si="12"/>
        <v>0.97</v>
      </c>
      <c r="L243" s="171" t="s">
        <v>144</v>
      </c>
      <c r="V243" s="1"/>
    </row>
    <row r="244" spans="1:22" s="5" customFormat="1" ht="13.5">
      <c r="A244" s="164" t="s">
        <v>281</v>
      </c>
      <c r="B244" s="165" t="s">
        <v>239</v>
      </c>
      <c r="C244" s="165" t="s">
        <v>244</v>
      </c>
      <c r="D244" s="165" t="s">
        <v>245</v>
      </c>
      <c r="E244" s="173">
        <v>0.03</v>
      </c>
      <c r="F244" s="167">
        <f>370+42</f>
        <v>412</v>
      </c>
      <c r="G244" s="168">
        <f t="shared" si="11"/>
        <v>12.36</v>
      </c>
      <c r="H244" s="26">
        <v>0.015</v>
      </c>
      <c r="I244" s="26"/>
      <c r="J244" s="26"/>
      <c r="K244" s="26">
        <f t="shared" si="12"/>
        <v>6.18</v>
      </c>
      <c r="L244" s="171" t="s">
        <v>144</v>
      </c>
      <c r="V244" s="1"/>
    </row>
    <row r="245" spans="1:22" s="5" customFormat="1" ht="13.5">
      <c r="A245" s="172" t="s">
        <v>282</v>
      </c>
      <c r="B245" s="165" t="s">
        <v>239</v>
      </c>
      <c r="C245" s="165" t="s">
        <v>244</v>
      </c>
      <c r="D245" s="165" t="s">
        <v>245</v>
      </c>
      <c r="E245" s="173">
        <v>0.01</v>
      </c>
      <c r="F245" s="167">
        <f>24</f>
        <v>24</v>
      </c>
      <c r="G245" s="168">
        <f t="shared" si="11"/>
        <v>0.24</v>
      </c>
      <c r="H245" s="26">
        <v>0.005</v>
      </c>
      <c r="I245" s="26"/>
      <c r="J245" s="26"/>
      <c r="K245" s="26">
        <f t="shared" si="12"/>
        <v>0.12</v>
      </c>
      <c r="L245" s="171" t="s">
        <v>144</v>
      </c>
      <c r="V245" s="1"/>
    </row>
    <row r="246" spans="1:22" s="5" customFormat="1" ht="13.5">
      <c r="A246" s="164" t="s">
        <v>283</v>
      </c>
      <c r="B246" s="165" t="s">
        <v>239</v>
      </c>
      <c r="C246" s="165" t="s">
        <v>244</v>
      </c>
      <c r="D246" s="165" t="s">
        <v>245</v>
      </c>
      <c r="E246" s="173">
        <v>0.01</v>
      </c>
      <c r="F246" s="167">
        <f>18</f>
        <v>18</v>
      </c>
      <c r="G246" s="168">
        <f t="shared" si="11"/>
        <v>0.18</v>
      </c>
      <c r="H246" s="26">
        <v>0.005</v>
      </c>
      <c r="I246" s="26"/>
      <c r="J246" s="26"/>
      <c r="K246" s="26">
        <f t="shared" si="12"/>
        <v>0.09</v>
      </c>
      <c r="L246" s="171" t="s">
        <v>144</v>
      </c>
      <c r="V246" s="1"/>
    </row>
    <row r="247" spans="1:22" s="5" customFormat="1" ht="13.5">
      <c r="A247" s="164" t="s">
        <v>284</v>
      </c>
      <c r="B247" s="165" t="s">
        <v>239</v>
      </c>
      <c r="C247" s="165" t="s">
        <v>244</v>
      </c>
      <c r="D247" s="165" t="s">
        <v>245</v>
      </c>
      <c r="E247" s="173">
        <v>0.01</v>
      </c>
      <c r="F247" s="167">
        <f>39+20</f>
        <v>59</v>
      </c>
      <c r="G247" s="168">
        <f t="shared" si="11"/>
        <v>0.59</v>
      </c>
      <c r="H247" s="26">
        <v>0.005</v>
      </c>
      <c r="I247" s="26"/>
      <c r="J247" s="26"/>
      <c r="K247" s="26">
        <f t="shared" si="12"/>
        <v>0.295</v>
      </c>
      <c r="L247" s="171" t="s">
        <v>144</v>
      </c>
      <c r="V247" s="1"/>
    </row>
    <row r="248" spans="1:22" s="5" customFormat="1" ht="25.5">
      <c r="A248" s="164" t="s">
        <v>285</v>
      </c>
      <c r="B248" s="165" t="s">
        <v>286</v>
      </c>
      <c r="C248" s="165" t="s">
        <v>287</v>
      </c>
      <c r="D248" s="165" t="s">
        <v>288</v>
      </c>
      <c r="E248" s="173">
        <v>4.2</v>
      </c>
      <c r="F248" s="167">
        <f aca="true" t="shared" si="16" ref="F248:F249">10</f>
        <v>10</v>
      </c>
      <c r="G248" s="168">
        <f t="shared" si="11"/>
        <v>42</v>
      </c>
      <c r="H248" s="26">
        <v>2.1</v>
      </c>
      <c r="I248" s="26"/>
      <c r="J248" s="26"/>
      <c r="K248" s="26">
        <f t="shared" si="12"/>
        <v>21</v>
      </c>
      <c r="L248" s="171" t="s">
        <v>144</v>
      </c>
      <c r="V248" s="1"/>
    </row>
    <row r="249" spans="1:22" s="5" customFormat="1" ht="25.5">
      <c r="A249" s="164" t="s">
        <v>285</v>
      </c>
      <c r="B249" s="165" t="s">
        <v>286</v>
      </c>
      <c r="C249" s="165" t="s">
        <v>287</v>
      </c>
      <c r="D249" s="165" t="s">
        <v>289</v>
      </c>
      <c r="E249" s="173">
        <v>4.2</v>
      </c>
      <c r="F249" s="167">
        <f t="shared" si="16"/>
        <v>10</v>
      </c>
      <c r="G249" s="168">
        <f t="shared" si="11"/>
        <v>42</v>
      </c>
      <c r="H249" s="26">
        <v>2.1</v>
      </c>
      <c r="I249" s="26"/>
      <c r="J249" s="26"/>
      <c r="K249" s="26">
        <f t="shared" si="12"/>
        <v>21</v>
      </c>
      <c r="L249" s="171" t="s">
        <v>144</v>
      </c>
      <c r="V249" s="1"/>
    </row>
    <row r="250" spans="1:22" s="5" customFormat="1" ht="25.5">
      <c r="A250" s="164" t="s">
        <v>290</v>
      </c>
      <c r="B250" s="165" t="s">
        <v>286</v>
      </c>
      <c r="C250" s="165" t="s">
        <v>287</v>
      </c>
      <c r="D250" s="165" t="s">
        <v>288</v>
      </c>
      <c r="E250" s="173">
        <v>4.8</v>
      </c>
      <c r="F250" s="167">
        <f>8</f>
        <v>8</v>
      </c>
      <c r="G250" s="168">
        <f t="shared" si="11"/>
        <v>38.4</v>
      </c>
      <c r="H250" s="26">
        <v>2.4</v>
      </c>
      <c r="I250" s="26"/>
      <c r="J250" s="26"/>
      <c r="K250" s="26">
        <f t="shared" si="12"/>
        <v>19.2</v>
      </c>
      <c r="L250" s="171" t="s">
        <v>144</v>
      </c>
      <c r="V250" s="1"/>
    </row>
    <row r="251" spans="1:22" s="5" customFormat="1" ht="13.5">
      <c r="A251" s="164" t="s">
        <v>291</v>
      </c>
      <c r="B251" s="165" t="s">
        <v>286</v>
      </c>
      <c r="C251" s="165" t="s">
        <v>292</v>
      </c>
      <c r="D251" s="165" t="s">
        <v>288</v>
      </c>
      <c r="E251" s="173">
        <v>4.2</v>
      </c>
      <c r="F251" s="167">
        <f>10</f>
        <v>10</v>
      </c>
      <c r="G251" s="168">
        <f t="shared" si="11"/>
        <v>42</v>
      </c>
      <c r="H251" s="26">
        <v>2.1</v>
      </c>
      <c r="I251" s="26"/>
      <c r="J251" s="26"/>
      <c r="K251" s="26">
        <f t="shared" si="12"/>
        <v>21</v>
      </c>
      <c r="L251" s="171" t="s">
        <v>144</v>
      </c>
      <c r="V251" s="1"/>
    </row>
    <row r="252" spans="1:22" s="5" customFormat="1" ht="13.5">
      <c r="A252" s="164" t="s">
        <v>291</v>
      </c>
      <c r="B252" s="165" t="s">
        <v>286</v>
      </c>
      <c r="C252" s="165" t="s">
        <v>292</v>
      </c>
      <c r="D252" s="165" t="s">
        <v>289</v>
      </c>
      <c r="E252" s="173">
        <v>4.2</v>
      </c>
      <c r="F252" s="167">
        <f>30</f>
        <v>30</v>
      </c>
      <c r="G252" s="168">
        <f t="shared" si="11"/>
        <v>126</v>
      </c>
      <c r="H252" s="26">
        <v>2.1</v>
      </c>
      <c r="I252" s="26"/>
      <c r="J252" s="26"/>
      <c r="K252" s="26">
        <f t="shared" si="12"/>
        <v>63</v>
      </c>
      <c r="L252" s="171" t="s">
        <v>144</v>
      </c>
      <c r="V252" s="1"/>
    </row>
    <row r="253" spans="1:22" s="5" customFormat="1" ht="13.5">
      <c r="A253" s="164" t="s">
        <v>291</v>
      </c>
      <c r="B253" s="165" t="s">
        <v>286</v>
      </c>
      <c r="C253" s="165" t="s">
        <v>292</v>
      </c>
      <c r="D253" s="165" t="s">
        <v>293</v>
      </c>
      <c r="E253" s="166">
        <v>4.2</v>
      </c>
      <c r="F253" s="167">
        <f>14</f>
        <v>14</v>
      </c>
      <c r="G253" s="168">
        <f t="shared" si="11"/>
        <v>58.800000000000004</v>
      </c>
      <c r="H253" s="26">
        <v>2.1</v>
      </c>
      <c r="I253" s="26"/>
      <c r="J253" s="26"/>
      <c r="K253" s="26">
        <f t="shared" si="12"/>
        <v>29.400000000000002</v>
      </c>
      <c r="L253" s="171" t="s">
        <v>144</v>
      </c>
      <c r="V253" s="1"/>
    </row>
    <row r="254" spans="1:22" s="5" customFormat="1" ht="25.5">
      <c r="A254" s="164" t="s">
        <v>290</v>
      </c>
      <c r="B254" s="165" t="s">
        <v>286</v>
      </c>
      <c r="C254" s="165" t="s">
        <v>287</v>
      </c>
      <c r="D254" s="165" t="s">
        <v>293</v>
      </c>
      <c r="E254" s="173">
        <v>4.8</v>
      </c>
      <c r="F254" s="167">
        <f>10</f>
        <v>10</v>
      </c>
      <c r="G254" s="168">
        <f t="shared" si="11"/>
        <v>48</v>
      </c>
      <c r="H254" s="26">
        <v>2.4</v>
      </c>
      <c r="I254" s="26"/>
      <c r="J254" s="26"/>
      <c r="K254" s="26">
        <f t="shared" si="12"/>
        <v>24</v>
      </c>
      <c r="L254" s="171" t="s">
        <v>144</v>
      </c>
      <c r="V254" s="1"/>
    </row>
    <row r="255" spans="1:22" s="5" customFormat="1" ht="25.5">
      <c r="A255" s="164" t="s">
        <v>294</v>
      </c>
      <c r="B255" s="165" t="s">
        <v>286</v>
      </c>
      <c r="C255" s="165" t="s">
        <v>287</v>
      </c>
      <c r="D255" s="165" t="s">
        <v>293</v>
      </c>
      <c r="E255" s="173">
        <v>6</v>
      </c>
      <c r="F255" s="167">
        <f>60+40</f>
        <v>100</v>
      </c>
      <c r="G255" s="168">
        <f t="shared" si="11"/>
        <v>600</v>
      </c>
      <c r="H255" s="26">
        <v>3</v>
      </c>
      <c r="I255" s="26"/>
      <c r="J255" s="26"/>
      <c r="K255" s="26">
        <f t="shared" si="12"/>
        <v>300</v>
      </c>
      <c r="L255" s="171" t="s">
        <v>144</v>
      </c>
      <c r="V255" s="1"/>
    </row>
    <row r="256" spans="1:22" s="5" customFormat="1" ht="13.5">
      <c r="A256" s="164" t="s">
        <v>295</v>
      </c>
      <c r="B256" s="165" t="s">
        <v>286</v>
      </c>
      <c r="C256" s="165" t="s">
        <v>296</v>
      </c>
      <c r="D256" s="165" t="s">
        <v>288</v>
      </c>
      <c r="E256" s="173">
        <v>8.04</v>
      </c>
      <c r="F256" s="167">
        <f>4</f>
        <v>4</v>
      </c>
      <c r="G256" s="168">
        <f t="shared" si="11"/>
        <v>32.16</v>
      </c>
      <c r="H256" s="26">
        <v>4.02</v>
      </c>
      <c r="I256" s="26"/>
      <c r="J256" s="26"/>
      <c r="K256" s="26">
        <f t="shared" si="12"/>
        <v>16.08</v>
      </c>
      <c r="L256" s="171" t="s">
        <v>144</v>
      </c>
      <c r="V256" s="1"/>
    </row>
    <row r="257" spans="1:22" s="5" customFormat="1" ht="13.5">
      <c r="A257" s="164" t="s">
        <v>295</v>
      </c>
      <c r="B257" s="165" t="s">
        <v>286</v>
      </c>
      <c r="C257" s="165" t="s">
        <v>296</v>
      </c>
      <c r="D257" s="165" t="s">
        <v>293</v>
      </c>
      <c r="E257" s="173">
        <v>8.04</v>
      </c>
      <c r="F257" s="167">
        <f>3</f>
        <v>3</v>
      </c>
      <c r="G257" s="168">
        <f t="shared" si="11"/>
        <v>24.119999999999997</v>
      </c>
      <c r="H257" s="26">
        <v>4.02</v>
      </c>
      <c r="I257" s="26"/>
      <c r="J257" s="26"/>
      <c r="K257" s="26">
        <f t="shared" si="12"/>
        <v>12.059999999999999</v>
      </c>
      <c r="L257" s="171" t="s">
        <v>144</v>
      </c>
      <c r="V257" s="1"/>
    </row>
    <row r="258" spans="1:22" s="5" customFormat="1" ht="13.5">
      <c r="A258" s="164" t="s">
        <v>297</v>
      </c>
      <c r="B258" s="165" t="s">
        <v>239</v>
      </c>
      <c r="C258" s="165" t="s">
        <v>298</v>
      </c>
      <c r="D258" s="165" t="s">
        <v>299</v>
      </c>
      <c r="E258" s="173">
        <v>2.8</v>
      </c>
      <c r="F258" s="167">
        <v>75</v>
      </c>
      <c r="G258" s="168">
        <f t="shared" si="11"/>
        <v>210</v>
      </c>
      <c r="H258" s="26">
        <v>1.4</v>
      </c>
      <c r="I258" s="26"/>
      <c r="J258" s="26"/>
      <c r="K258" s="26">
        <f t="shared" si="12"/>
        <v>105</v>
      </c>
      <c r="L258" s="171" t="s">
        <v>144</v>
      </c>
      <c r="V258" s="1"/>
    </row>
    <row r="259" spans="1:22" s="5" customFormat="1" ht="25.5">
      <c r="A259" s="164" t="s">
        <v>300</v>
      </c>
      <c r="B259" s="165" t="s">
        <v>239</v>
      </c>
      <c r="C259" s="165" t="s">
        <v>240</v>
      </c>
      <c r="D259" s="165" t="s">
        <v>301</v>
      </c>
      <c r="E259" s="173">
        <v>2.5</v>
      </c>
      <c r="F259" s="167">
        <f>12</f>
        <v>12</v>
      </c>
      <c r="G259" s="168">
        <f t="shared" si="11"/>
        <v>30</v>
      </c>
      <c r="H259" s="26">
        <v>1.25</v>
      </c>
      <c r="I259" s="26"/>
      <c r="J259" s="26"/>
      <c r="K259" s="26">
        <f t="shared" si="12"/>
        <v>15</v>
      </c>
      <c r="L259" s="171" t="s">
        <v>144</v>
      </c>
      <c r="V259" s="1"/>
    </row>
    <row r="260" spans="1:22" s="5" customFormat="1" ht="25.5">
      <c r="A260" s="164" t="s">
        <v>302</v>
      </c>
      <c r="B260" s="165" t="s">
        <v>239</v>
      </c>
      <c r="C260" s="165" t="s">
        <v>240</v>
      </c>
      <c r="D260" s="165" t="s">
        <v>301</v>
      </c>
      <c r="E260" s="173">
        <v>2.5</v>
      </c>
      <c r="F260" s="167">
        <f>17</f>
        <v>17</v>
      </c>
      <c r="G260" s="168">
        <f t="shared" si="11"/>
        <v>42.5</v>
      </c>
      <c r="H260" s="26">
        <v>1.25</v>
      </c>
      <c r="I260" s="26"/>
      <c r="J260" s="26"/>
      <c r="K260" s="26">
        <f t="shared" si="12"/>
        <v>21.25</v>
      </c>
      <c r="L260" s="171" t="s">
        <v>144</v>
      </c>
      <c r="V260" s="1"/>
    </row>
    <row r="261" spans="1:22" s="5" customFormat="1" ht="25.5">
      <c r="A261" s="164" t="s">
        <v>303</v>
      </c>
      <c r="B261" s="165" t="s">
        <v>239</v>
      </c>
      <c r="C261" s="165" t="s">
        <v>240</v>
      </c>
      <c r="D261" s="165" t="s">
        <v>301</v>
      </c>
      <c r="E261" s="173">
        <v>2.5</v>
      </c>
      <c r="F261" s="167">
        <f>60+40+60+27</f>
        <v>187</v>
      </c>
      <c r="G261" s="168">
        <f t="shared" si="11"/>
        <v>467.5</v>
      </c>
      <c r="H261" s="26">
        <v>1.25</v>
      </c>
      <c r="I261" s="26"/>
      <c r="J261" s="26"/>
      <c r="K261" s="26">
        <f t="shared" si="12"/>
        <v>233.75</v>
      </c>
      <c r="L261" s="171" t="s">
        <v>144</v>
      </c>
      <c r="V261" s="1"/>
    </row>
    <row r="262" spans="1:22" s="5" customFormat="1" ht="13.5">
      <c r="A262" s="172" t="s">
        <v>304</v>
      </c>
      <c r="B262" s="165" t="s">
        <v>239</v>
      </c>
      <c r="C262" s="165" t="s">
        <v>240</v>
      </c>
      <c r="D262" s="165" t="s">
        <v>241</v>
      </c>
      <c r="E262" s="166">
        <v>0.73</v>
      </c>
      <c r="F262" s="167">
        <f>68+19</f>
        <v>87</v>
      </c>
      <c r="G262" s="168">
        <f t="shared" si="11"/>
        <v>63.51</v>
      </c>
      <c r="H262" s="26">
        <v>0.365</v>
      </c>
      <c r="I262" s="26"/>
      <c r="J262" s="26"/>
      <c r="K262" s="26">
        <f t="shared" si="12"/>
        <v>31.755</v>
      </c>
      <c r="L262" s="171" t="s">
        <v>144</v>
      </c>
      <c r="V262" s="1"/>
    </row>
    <row r="263" spans="1:22" s="5" customFormat="1" ht="13.5">
      <c r="A263" s="172" t="s">
        <v>305</v>
      </c>
      <c r="B263" s="165" t="s">
        <v>239</v>
      </c>
      <c r="C263" s="165" t="s">
        <v>240</v>
      </c>
      <c r="D263" s="165" t="s">
        <v>241</v>
      </c>
      <c r="E263" s="166">
        <v>1.06</v>
      </c>
      <c r="F263" s="167">
        <f>18</f>
        <v>18</v>
      </c>
      <c r="G263" s="168">
        <f t="shared" si="11"/>
        <v>19.080000000000002</v>
      </c>
      <c r="H263" s="26">
        <v>0.53</v>
      </c>
      <c r="I263" s="26"/>
      <c r="J263" s="26"/>
      <c r="K263" s="26">
        <f t="shared" si="12"/>
        <v>9.540000000000001</v>
      </c>
      <c r="L263" s="171" t="s">
        <v>144</v>
      </c>
      <c r="V263" s="1"/>
    </row>
    <row r="264" spans="1:22" s="5" customFormat="1" ht="13.5">
      <c r="A264" s="172" t="s">
        <v>306</v>
      </c>
      <c r="B264" s="165" t="s">
        <v>239</v>
      </c>
      <c r="C264" s="165" t="s">
        <v>240</v>
      </c>
      <c r="D264" s="165" t="s">
        <v>241</v>
      </c>
      <c r="E264" s="173">
        <v>0.73</v>
      </c>
      <c r="F264" s="167">
        <f>10</f>
        <v>10</v>
      </c>
      <c r="G264" s="168">
        <f t="shared" si="11"/>
        <v>7.3</v>
      </c>
      <c r="H264" s="26">
        <v>0.365</v>
      </c>
      <c r="I264" s="26"/>
      <c r="J264" s="26"/>
      <c r="K264" s="26">
        <f t="shared" si="12"/>
        <v>3.65</v>
      </c>
      <c r="L264" s="171" t="s">
        <v>144</v>
      </c>
      <c r="V264" s="1"/>
    </row>
    <row r="265" spans="1:22" s="5" customFormat="1" ht="13.5">
      <c r="A265" s="164" t="s">
        <v>307</v>
      </c>
      <c r="B265" s="165" t="s">
        <v>239</v>
      </c>
      <c r="C265" s="165" t="s">
        <v>240</v>
      </c>
      <c r="D265" s="165" t="s">
        <v>308</v>
      </c>
      <c r="E265" s="166">
        <v>10.5</v>
      </c>
      <c r="F265" s="167">
        <v>20</v>
      </c>
      <c r="G265" s="168">
        <f t="shared" si="11"/>
        <v>210</v>
      </c>
      <c r="H265" s="26">
        <v>3.7500000000000004</v>
      </c>
      <c r="I265" s="26"/>
      <c r="J265" s="26"/>
      <c r="K265" s="26">
        <f t="shared" si="12"/>
        <v>75.00000000000001</v>
      </c>
      <c r="L265" s="171" t="s">
        <v>144</v>
      </c>
      <c r="V265" s="1"/>
    </row>
    <row r="266" spans="1:22" s="5" customFormat="1" ht="13.5">
      <c r="A266" s="172" t="s">
        <v>309</v>
      </c>
      <c r="B266" s="165" t="s">
        <v>239</v>
      </c>
      <c r="C266" s="165" t="s">
        <v>240</v>
      </c>
      <c r="D266" s="165" t="s">
        <v>308</v>
      </c>
      <c r="E266" s="166">
        <v>10.5</v>
      </c>
      <c r="F266" s="167">
        <v>57</v>
      </c>
      <c r="G266" s="168">
        <f t="shared" si="11"/>
        <v>598.5</v>
      </c>
      <c r="H266" s="26">
        <v>3.7500000000000004</v>
      </c>
      <c r="I266" s="26"/>
      <c r="J266" s="26"/>
      <c r="K266" s="26">
        <f t="shared" si="12"/>
        <v>213.75000000000003</v>
      </c>
      <c r="L266" s="171" t="s">
        <v>144</v>
      </c>
      <c r="V266" s="1"/>
    </row>
    <row r="267" spans="1:22" s="5" customFormat="1" ht="13.5">
      <c r="A267" s="172" t="s">
        <v>310</v>
      </c>
      <c r="B267" s="165" t="s">
        <v>239</v>
      </c>
      <c r="C267" s="165" t="s">
        <v>240</v>
      </c>
      <c r="D267" s="165" t="s">
        <v>308</v>
      </c>
      <c r="E267" s="166">
        <v>10.5</v>
      </c>
      <c r="F267" s="167">
        <f>19</f>
        <v>19</v>
      </c>
      <c r="G267" s="168">
        <f t="shared" si="11"/>
        <v>199.5</v>
      </c>
      <c r="H267" s="26">
        <v>3.7500000000000004</v>
      </c>
      <c r="I267" s="26"/>
      <c r="J267" s="26"/>
      <c r="K267" s="26">
        <f t="shared" si="12"/>
        <v>71.25000000000001</v>
      </c>
      <c r="L267" s="171" t="s">
        <v>144</v>
      </c>
      <c r="V267" s="1"/>
    </row>
    <row r="268" spans="1:22" s="5" customFormat="1" ht="13.5">
      <c r="A268" s="172" t="s">
        <v>311</v>
      </c>
      <c r="B268" s="165" t="s">
        <v>239</v>
      </c>
      <c r="C268" s="165" t="s">
        <v>298</v>
      </c>
      <c r="D268" s="165" t="s">
        <v>312</v>
      </c>
      <c r="E268" s="166">
        <v>15.4</v>
      </c>
      <c r="F268" s="167">
        <v>2</v>
      </c>
      <c r="G268" s="168">
        <f t="shared" si="11"/>
        <v>30.8</v>
      </c>
      <c r="H268" s="26">
        <v>5.500000000000001</v>
      </c>
      <c r="I268" s="26"/>
      <c r="J268" s="26"/>
      <c r="K268" s="26">
        <f t="shared" si="12"/>
        <v>11.000000000000002</v>
      </c>
      <c r="L268" s="171" t="s">
        <v>144</v>
      </c>
      <c r="V268" s="1"/>
    </row>
    <row r="269" spans="1:22" s="5" customFormat="1" ht="13.5">
      <c r="A269" s="172" t="s">
        <v>313</v>
      </c>
      <c r="B269" s="165" t="s">
        <v>239</v>
      </c>
      <c r="C269" s="165" t="s">
        <v>298</v>
      </c>
      <c r="D269" s="165" t="s">
        <v>312</v>
      </c>
      <c r="E269" s="173">
        <v>15.4</v>
      </c>
      <c r="F269" s="167">
        <v>1</v>
      </c>
      <c r="G269" s="168">
        <f t="shared" si="11"/>
        <v>15.4</v>
      </c>
      <c r="H269" s="26">
        <v>5.500000000000001</v>
      </c>
      <c r="I269" s="26"/>
      <c r="J269" s="26"/>
      <c r="K269" s="26">
        <f t="shared" si="12"/>
        <v>5.500000000000001</v>
      </c>
      <c r="L269" s="171" t="s">
        <v>144</v>
      </c>
      <c r="V269" s="1"/>
    </row>
    <row r="270" spans="1:22" s="5" customFormat="1" ht="25.5">
      <c r="A270" s="172" t="s">
        <v>314</v>
      </c>
      <c r="B270" s="165" t="s">
        <v>239</v>
      </c>
      <c r="C270" s="165" t="s">
        <v>298</v>
      </c>
      <c r="D270" s="165" t="s">
        <v>315</v>
      </c>
      <c r="E270" s="166">
        <v>18</v>
      </c>
      <c r="F270" s="167">
        <f>5+6</f>
        <v>11</v>
      </c>
      <c r="G270" s="168">
        <f t="shared" si="11"/>
        <v>198</v>
      </c>
      <c r="H270" s="26">
        <v>6.4</v>
      </c>
      <c r="I270" s="26"/>
      <c r="J270" s="26"/>
      <c r="K270" s="26">
        <f t="shared" si="12"/>
        <v>70.4</v>
      </c>
      <c r="L270" s="171" t="s">
        <v>144</v>
      </c>
      <c r="V270" s="1"/>
    </row>
    <row r="271" spans="1:22" s="5" customFormat="1" ht="25.5">
      <c r="A271" s="172" t="s">
        <v>316</v>
      </c>
      <c r="B271" s="165" t="s">
        <v>239</v>
      </c>
      <c r="C271" s="165" t="s">
        <v>298</v>
      </c>
      <c r="D271" s="165" t="s">
        <v>315</v>
      </c>
      <c r="E271" s="166">
        <v>18</v>
      </c>
      <c r="F271" s="167">
        <f>3</f>
        <v>3</v>
      </c>
      <c r="G271" s="168">
        <f t="shared" si="11"/>
        <v>54</v>
      </c>
      <c r="H271" s="26">
        <v>6.4</v>
      </c>
      <c r="I271" s="26"/>
      <c r="J271" s="26"/>
      <c r="K271" s="26">
        <f t="shared" si="12"/>
        <v>19.200000000000003</v>
      </c>
      <c r="L271" s="171" t="s">
        <v>144</v>
      </c>
      <c r="V271" s="1"/>
    </row>
    <row r="272" spans="1:22" s="5" customFormat="1" ht="25.5">
      <c r="A272" s="172" t="s">
        <v>317</v>
      </c>
      <c r="B272" s="165" t="s">
        <v>239</v>
      </c>
      <c r="C272" s="165" t="s">
        <v>298</v>
      </c>
      <c r="D272" s="165" t="s">
        <v>315</v>
      </c>
      <c r="E272" s="173">
        <v>18</v>
      </c>
      <c r="F272" s="167">
        <f>2</f>
        <v>2</v>
      </c>
      <c r="G272" s="168">
        <f t="shared" si="11"/>
        <v>36</v>
      </c>
      <c r="H272" s="26">
        <v>6.4</v>
      </c>
      <c r="I272" s="26"/>
      <c r="J272" s="26"/>
      <c r="K272" s="26">
        <f t="shared" si="12"/>
        <v>12.8</v>
      </c>
      <c r="L272" s="171" t="s">
        <v>144</v>
      </c>
      <c r="V272" s="1"/>
    </row>
    <row r="273" spans="1:22" s="5" customFormat="1" ht="13.5">
      <c r="A273" s="172" t="s">
        <v>318</v>
      </c>
      <c r="B273" s="165" t="s">
        <v>239</v>
      </c>
      <c r="C273" s="165" t="s">
        <v>319</v>
      </c>
      <c r="D273" s="165" t="s">
        <v>320</v>
      </c>
      <c r="E273" s="173">
        <v>0.65</v>
      </c>
      <c r="F273" s="167">
        <f>63</f>
        <v>63</v>
      </c>
      <c r="G273" s="168">
        <f t="shared" si="11"/>
        <v>40.95</v>
      </c>
      <c r="H273" s="26">
        <v>0.2</v>
      </c>
      <c r="I273" s="26"/>
      <c r="J273" s="26"/>
      <c r="K273" s="26">
        <f t="shared" si="12"/>
        <v>12.600000000000001</v>
      </c>
      <c r="L273" s="171" t="s">
        <v>144</v>
      </c>
      <c r="V273" s="1"/>
    </row>
    <row r="274" spans="1:22" s="5" customFormat="1" ht="13.5">
      <c r="A274" s="172" t="s">
        <v>321</v>
      </c>
      <c r="B274" s="165" t="s">
        <v>239</v>
      </c>
      <c r="C274" s="165" t="s">
        <v>319</v>
      </c>
      <c r="D274" s="165" t="s">
        <v>320</v>
      </c>
      <c r="E274" s="173">
        <v>0.65</v>
      </c>
      <c r="F274" s="167">
        <f>56</f>
        <v>56</v>
      </c>
      <c r="G274" s="168">
        <f t="shared" si="11"/>
        <v>36.4</v>
      </c>
      <c r="H274" s="26">
        <v>0.2</v>
      </c>
      <c r="I274" s="26"/>
      <c r="J274" s="26"/>
      <c r="K274" s="26">
        <f t="shared" si="12"/>
        <v>11.200000000000001</v>
      </c>
      <c r="L274" s="171" t="s">
        <v>144</v>
      </c>
      <c r="V274" s="1"/>
    </row>
    <row r="275" spans="1:22" s="5" customFormat="1" ht="13.5">
      <c r="A275" s="172" t="s">
        <v>322</v>
      </c>
      <c r="B275" s="165" t="s">
        <v>239</v>
      </c>
      <c r="C275" s="165" t="s">
        <v>319</v>
      </c>
      <c r="D275" s="165" t="s">
        <v>320</v>
      </c>
      <c r="E275" s="173">
        <v>0.65</v>
      </c>
      <c r="F275" s="167">
        <f>25</f>
        <v>25</v>
      </c>
      <c r="G275" s="168">
        <f t="shared" si="11"/>
        <v>16.25</v>
      </c>
      <c r="H275" s="26">
        <v>0.2</v>
      </c>
      <c r="I275" s="26"/>
      <c r="J275" s="26"/>
      <c r="K275" s="26">
        <f t="shared" si="12"/>
        <v>5</v>
      </c>
      <c r="L275" s="171" t="s">
        <v>144</v>
      </c>
      <c r="V275" s="1"/>
    </row>
    <row r="276" spans="1:22" s="5" customFormat="1" ht="13.5">
      <c r="A276" s="172" t="s">
        <v>323</v>
      </c>
      <c r="B276" s="165" t="s">
        <v>239</v>
      </c>
      <c r="C276" s="165" t="s">
        <v>324</v>
      </c>
      <c r="D276" s="165" t="s">
        <v>325</v>
      </c>
      <c r="E276" s="173">
        <v>6</v>
      </c>
      <c r="F276" s="167">
        <v>56</v>
      </c>
      <c r="G276" s="168">
        <f t="shared" si="11"/>
        <v>336</v>
      </c>
      <c r="H276" s="26">
        <v>1.9</v>
      </c>
      <c r="I276" s="26"/>
      <c r="J276" s="26"/>
      <c r="K276" s="26">
        <f t="shared" si="12"/>
        <v>106.39999999999999</v>
      </c>
      <c r="L276" s="171" t="s">
        <v>144</v>
      </c>
      <c r="V276" s="1"/>
    </row>
    <row r="277" spans="1:22" s="5" customFormat="1" ht="13.5">
      <c r="A277" s="172" t="s">
        <v>326</v>
      </c>
      <c r="B277" s="165" t="s">
        <v>239</v>
      </c>
      <c r="C277" s="165" t="s">
        <v>298</v>
      </c>
      <c r="D277" s="165" t="s">
        <v>327</v>
      </c>
      <c r="E277" s="173">
        <v>0.28</v>
      </c>
      <c r="F277" s="167">
        <v>890</v>
      </c>
      <c r="G277" s="168">
        <f t="shared" si="11"/>
        <v>249.20000000000002</v>
      </c>
      <c r="H277" s="26">
        <v>0.1</v>
      </c>
      <c r="I277" s="26"/>
      <c r="J277" s="26"/>
      <c r="K277" s="26">
        <f t="shared" si="12"/>
        <v>89</v>
      </c>
      <c r="L277" s="171" t="s">
        <v>144</v>
      </c>
      <c r="V277" s="1"/>
    </row>
    <row r="278" spans="1:22" s="5" customFormat="1" ht="13.5">
      <c r="A278" s="172" t="s">
        <v>328</v>
      </c>
      <c r="B278" s="165" t="s">
        <v>239</v>
      </c>
      <c r="C278" s="165" t="s">
        <v>298</v>
      </c>
      <c r="D278" s="165" t="s">
        <v>327</v>
      </c>
      <c r="E278" s="173">
        <v>0.28</v>
      </c>
      <c r="F278" s="167">
        <v>690</v>
      </c>
      <c r="G278" s="168">
        <f t="shared" si="11"/>
        <v>193.20000000000002</v>
      </c>
      <c r="H278" s="26">
        <v>0.1</v>
      </c>
      <c r="I278" s="26"/>
      <c r="J278" s="26"/>
      <c r="K278" s="26">
        <f t="shared" si="12"/>
        <v>69</v>
      </c>
      <c r="L278" s="171" t="s">
        <v>144</v>
      </c>
      <c r="V278" s="1"/>
    </row>
    <row r="279" spans="1:22" s="5" customFormat="1" ht="14.25">
      <c r="A279" s="184" t="s">
        <v>329</v>
      </c>
      <c r="B279" s="175" t="s">
        <v>239</v>
      </c>
      <c r="C279" s="175" t="s">
        <v>298</v>
      </c>
      <c r="D279" s="175" t="s">
        <v>327</v>
      </c>
      <c r="E279" s="176">
        <v>0.28</v>
      </c>
      <c r="F279" s="177">
        <v>590</v>
      </c>
      <c r="G279" s="178">
        <f t="shared" si="11"/>
        <v>165.20000000000002</v>
      </c>
      <c r="H279" s="26">
        <v>0.1</v>
      </c>
      <c r="I279" s="26"/>
      <c r="J279" s="26"/>
      <c r="K279" s="26">
        <f t="shared" si="12"/>
        <v>59</v>
      </c>
      <c r="L279" s="171" t="s">
        <v>144</v>
      </c>
      <c r="V279" s="1"/>
    </row>
    <row r="280" spans="1:22" s="5" customFormat="1" ht="13.5">
      <c r="A280" s="185" t="s">
        <v>330</v>
      </c>
      <c r="B280" s="180" t="s">
        <v>239</v>
      </c>
      <c r="C280" s="180" t="s">
        <v>298</v>
      </c>
      <c r="D280" s="180" t="s">
        <v>312</v>
      </c>
      <c r="E280" s="181">
        <v>12.6</v>
      </c>
      <c r="F280" s="182">
        <f>4</f>
        <v>4</v>
      </c>
      <c r="G280" s="183">
        <f t="shared" si="11"/>
        <v>50.4</v>
      </c>
      <c r="H280" s="26">
        <v>4.5</v>
      </c>
      <c r="I280" s="26"/>
      <c r="J280" s="26"/>
      <c r="K280" s="26">
        <f t="shared" si="12"/>
        <v>18</v>
      </c>
      <c r="L280" s="171"/>
      <c r="V280" s="1"/>
    </row>
    <row r="281" spans="1:22" s="5" customFormat="1" ht="25.5">
      <c r="A281" s="172" t="s">
        <v>331</v>
      </c>
      <c r="B281" s="165" t="s">
        <v>239</v>
      </c>
      <c r="C281" s="165" t="s">
        <v>244</v>
      </c>
      <c r="D281" s="165" t="s">
        <v>332</v>
      </c>
      <c r="E281" s="173">
        <v>1.85</v>
      </c>
      <c r="F281" s="167">
        <f>6*130</f>
        <v>780</v>
      </c>
      <c r="G281" s="168">
        <f t="shared" si="11"/>
        <v>1443</v>
      </c>
      <c r="H281" s="26">
        <v>0.6</v>
      </c>
      <c r="I281" s="26"/>
      <c r="J281" s="26"/>
      <c r="K281" s="26">
        <f t="shared" si="12"/>
        <v>468</v>
      </c>
      <c r="L281" s="171" t="s">
        <v>144</v>
      </c>
      <c r="V281" s="1"/>
    </row>
    <row r="282" spans="1:22" s="5" customFormat="1" ht="25.5">
      <c r="A282" s="172" t="s">
        <v>333</v>
      </c>
      <c r="B282" s="165" t="s">
        <v>239</v>
      </c>
      <c r="C282" s="165" t="s">
        <v>240</v>
      </c>
      <c r="D282" s="165" t="s">
        <v>334</v>
      </c>
      <c r="E282" s="173">
        <v>2.4</v>
      </c>
      <c r="F282" s="167">
        <f>10*43</f>
        <v>430</v>
      </c>
      <c r="G282" s="168">
        <f t="shared" si="11"/>
        <v>1032</v>
      </c>
      <c r="H282" s="26">
        <v>0.8</v>
      </c>
      <c r="I282" s="26"/>
      <c r="J282" s="26"/>
      <c r="K282" s="26">
        <f t="shared" si="12"/>
        <v>344</v>
      </c>
      <c r="L282" s="171" t="s">
        <v>144</v>
      </c>
      <c r="V282" s="1"/>
    </row>
    <row r="283" spans="1:22" s="5" customFormat="1" ht="13.5">
      <c r="A283" s="172" t="s">
        <v>335</v>
      </c>
      <c r="B283" s="165" t="s">
        <v>239</v>
      </c>
      <c r="C283" s="165" t="s">
        <v>244</v>
      </c>
      <c r="D283" s="165" t="s">
        <v>245</v>
      </c>
      <c r="E283" s="173">
        <v>0.016</v>
      </c>
      <c r="F283" s="167">
        <f>502</f>
        <v>502</v>
      </c>
      <c r="G283" s="168">
        <f t="shared" si="11"/>
        <v>8.032</v>
      </c>
      <c r="H283" s="26">
        <v>0.005714285714285715</v>
      </c>
      <c r="I283" s="26"/>
      <c r="J283" s="26"/>
      <c r="K283" s="26">
        <f t="shared" si="12"/>
        <v>2.868571428571429</v>
      </c>
      <c r="L283" s="171" t="s">
        <v>144</v>
      </c>
      <c r="V283" s="1"/>
    </row>
    <row r="284" spans="1:22" s="5" customFormat="1" ht="13.5">
      <c r="A284" s="172" t="s">
        <v>336</v>
      </c>
      <c r="B284" s="165" t="s">
        <v>239</v>
      </c>
      <c r="C284" s="165" t="s">
        <v>244</v>
      </c>
      <c r="D284" s="165" t="s">
        <v>245</v>
      </c>
      <c r="E284" s="173">
        <v>0.016</v>
      </c>
      <c r="F284" s="167">
        <f>181</f>
        <v>181</v>
      </c>
      <c r="G284" s="168">
        <f t="shared" si="11"/>
        <v>2.896</v>
      </c>
      <c r="H284" s="26">
        <v>0.005714285714285715</v>
      </c>
      <c r="I284" s="26"/>
      <c r="J284" s="26"/>
      <c r="K284" s="26">
        <f t="shared" si="12"/>
        <v>1.0342857142857145</v>
      </c>
      <c r="L284" s="171" t="s">
        <v>144</v>
      </c>
      <c r="V284" s="1"/>
    </row>
    <row r="285" spans="1:22" s="5" customFormat="1" ht="13.5">
      <c r="A285" s="172" t="s">
        <v>337</v>
      </c>
      <c r="B285" s="165" t="s">
        <v>239</v>
      </c>
      <c r="C285" s="165" t="s">
        <v>244</v>
      </c>
      <c r="D285" s="165" t="s">
        <v>245</v>
      </c>
      <c r="E285" s="173">
        <v>0.016</v>
      </c>
      <c r="F285" s="167">
        <f>1297</f>
        <v>1297</v>
      </c>
      <c r="G285" s="168">
        <f t="shared" si="11"/>
        <v>20.752</v>
      </c>
      <c r="H285" s="26">
        <v>0.005714285714285715</v>
      </c>
      <c r="I285" s="26"/>
      <c r="J285" s="26"/>
      <c r="K285" s="26">
        <f t="shared" si="12"/>
        <v>7.411428571428573</v>
      </c>
      <c r="L285" s="171" t="s">
        <v>144</v>
      </c>
      <c r="V285" s="1"/>
    </row>
    <row r="286" spans="1:22" s="5" customFormat="1" ht="13.5">
      <c r="A286" s="172" t="s">
        <v>338</v>
      </c>
      <c r="B286" s="165" t="s">
        <v>239</v>
      </c>
      <c r="C286" s="165" t="s">
        <v>244</v>
      </c>
      <c r="D286" s="165" t="s">
        <v>245</v>
      </c>
      <c r="E286" s="173">
        <v>0.016</v>
      </c>
      <c r="F286" s="167">
        <f>63</f>
        <v>63</v>
      </c>
      <c r="G286" s="168">
        <f t="shared" si="11"/>
        <v>1.008</v>
      </c>
      <c r="H286" s="26">
        <v>0.005714285714285715</v>
      </c>
      <c r="I286" s="26"/>
      <c r="J286" s="26"/>
      <c r="K286" s="26">
        <f t="shared" si="12"/>
        <v>0.36000000000000004</v>
      </c>
      <c r="L286" s="171" t="s">
        <v>144</v>
      </c>
      <c r="V286" s="1"/>
    </row>
    <row r="287" spans="1:22" s="5" customFormat="1" ht="13.5">
      <c r="A287" s="172" t="s">
        <v>339</v>
      </c>
      <c r="B287" s="165" t="s">
        <v>239</v>
      </c>
      <c r="C287" s="165" t="s">
        <v>244</v>
      </c>
      <c r="D287" s="165" t="s">
        <v>245</v>
      </c>
      <c r="E287" s="173">
        <v>0.028</v>
      </c>
      <c r="F287" s="167">
        <f>213</f>
        <v>213</v>
      </c>
      <c r="G287" s="168">
        <f t="shared" si="11"/>
        <v>5.964</v>
      </c>
      <c r="H287" s="26">
        <v>0.01</v>
      </c>
      <c r="I287" s="26"/>
      <c r="J287" s="26"/>
      <c r="K287" s="26">
        <f t="shared" si="12"/>
        <v>2.13</v>
      </c>
      <c r="L287" s="171" t="s">
        <v>144</v>
      </c>
      <c r="V287" s="1"/>
    </row>
    <row r="288" spans="1:22" s="5" customFormat="1" ht="13.5">
      <c r="A288" s="164" t="s">
        <v>340</v>
      </c>
      <c r="B288" s="165" t="s">
        <v>239</v>
      </c>
      <c r="C288" s="165" t="s">
        <v>244</v>
      </c>
      <c r="D288" s="165" t="s">
        <v>245</v>
      </c>
      <c r="E288" s="166">
        <v>0.028</v>
      </c>
      <c r="F288" s="167">
        <f>302</f>
        <v>302</v>
      </c>
      <c r="G288" s="168">
        <f t="shared" si="11"/>
        <v>8.456</v>
      </c>
      <c r="H288" s="26">
        <v>0.01</v>
      </c>
      <c r="I288" s="26"/>
      <c r="J288" s="26"/>
      <c r="K288" s="26">
        <f t="shared" si="12"/>
        <v>3.02</v>
      </c>
      <c r="L288" s="171" t="s">
        <v>144</v>
      </c>
      <c r="V288" s="1"/>
    </row>
    <row r="289" spans="1:22" s="5" customFormat="1" ht="13.5">
      <c r="A289" s="164" t="s">
        <v>341</v>
      </c>
      <c r="B289" s="165" t="s">
        <v>239</v>
      </c>
      <c r="C289" s="165" t="s">
        <v>244</v>
      </c>
      <c r="D289" s="165" t="s">
        <v>245</v>
      </c>
      <c r="E289" s="166">
        <v>0.016</v>
      </c>
      <c r="F289" s="167">
        <f>122+23</f>
        <v>145</v>
      </c>
      <c r="G289" s="168">
        <f t="shared" si="11"/>
        <v>2.32</v>
      </c>
      <c r="H289" s="26">
        <v>0.005714285714285715</v>
      </c>
      <c r="I289" s="26"/>
      <c r="J289" s="26"/>
      <c r="K289" s="26">
        <f t="shared" si="12"/>
        <v>0.8285714285714287</v>
      </c>
      <c r="L289" s="171" t="s">
        <v>144</v>
      </c>
      <c r="V289" s="1"/>
    </row>
    <row r="290" spans="1:22" s="5" customFormat="1" ht="13.5">
      <c r="A290" s="164" t="s">
        <v>342</v>
      </c>
      <c r="B290" s="165" t="s">
        <v>239</v>
      </c>
      <c r="C290" s="165" t="s">
        <v>244</v>
      </c>
      <c r="D290" s="165" t="s">
        <v>245</v>
      </c>
      <c r="E290" s="166">
        <v>0.028</v>
      </c>
      <c r="F290" s="167">
        <f>204+148</f>
        <v>352</v>
      </c>
      <c r="G290" s="168">
        <f t="shared" si="11"/>
        <v>9.856</v>
      </c>
      <c r="H290" s="26">
        <v>0.01</v>
      </c>
      <c r="I290" s="26"/>
      <c r="J290" s="26"/>
      <c r="K290" s="26">
        <f t="shared" si="12"/>
        <v>3.52</v>
      </c>
      <c r="L290" s="171" t="s">
        <v>144</v>
      </c>
      <c r="V290" s="1"/>
    </row>
    <row r="291" spans="1:22" s="5" customFormat="1" ht="13.5">
      <c r="A291" s="172" t="s">
        <v>343</v>
      </c>
      <c r="B291" s="165" t="s">
        <v>239</v>
      </c>
      <c r="C291" s="165" t="s">
        <v>244</v>
      </c>
      <c r="D291" s="165" t="s">
        <v>245</v>
      </c>
      <c r="E291" s="173">
        <v>0.016</v>
      </c>
      <c r="F291" s="167">
        <f>430</f>
        <v>430</v>
      </c>
      <c r="G291" s="168">
        <f t="shared" si="11"/>
        <v>6.88</v>
      </c>
      <c r="H291" s="26">
        <v>0.005714285714285715</v>
      </c>
      <c r="I291" s="26"/>
      <c r="J291" s="26"/>
      <c r="K291" s="26">
        <f t="shared" si="12"/>
        <v>2.4571428571428573</v>
      </c>
      <c r="L291" s="171" t="s">
        <v>144</v>
      </c>
      <c r="V291" s="1"/>
    </row>
    <row r="292" spans="1:22" s="5" customFormat="1" ht="13.5">
      <c r="A292" s="172" t="s">
        <v>344</v>
      </c>
      <c r="B292" s="165" t="s">
        <v>239</v>
      </c>
      <c r="C292" s="165" t="s">
        <v>244</v>
      </c>
      <c r="D292" s="165" t="s">
        <v>245</v>
      </c>
      <c r="E292" s="173">
        <v>0.028</v>
      </c>
      <c r="F292" s="167">
        <f>215</f>
        <v>215</v>
      </c>
      <c r="G292" s="168">
        <f t="shared" si="11"/>
        <v>6.0200000000000005</v>
      </c>
      <c r="H292" s="26">
        <v>0.01</v>
      </c>
      <c r="I292" s="26"/>
      <c r="J292" s="26"/>
      <c r="K292" s="26">
        <f t="shared" si="12"/>
        <v>2.15</v>
      </c>
      <c r="L292" s="171" t="s">
        <v>144</v>
      </c>
      <c r="V292" s="1"/>
    </row>
    <row r="293" spans="1:22" s="5" customFormat="1" ht="13.5">
      <c r="A293" s="172" t="s">
        <v>345</v>
      </c>
      <c r="B293" s="165" t="s">
        <v>200</v>
      </c>
      <c r="C293" s="165" t="s">
        <v>346</v>
      </c>
      <c r="D293" s="165" t="s">
        <v>224</v>
      </c>
      <c r="E293" s="173">
        <v>1.5</v>
      </c>
      <c r="F293" s="167">
        <v>5</v>
      </c>
      <c r="G293" s="168">
        <f t="shared" si="11"/>
        <v>7.5</v>
      </c>
      <c r="H293" s="26">
        <v>0.5357142857142857</v>
      </c>
      <c r="I293" s="26"/>
      <c r="J293" s="26"/>
      <c r="K293" s="26">
        <f t="shared" si="12"/>
        <v>2.6785714285714284</v>
      </c>
      <c r="L293" s="171" t="s">
        <v>144</v>
      </c>
      <c r="V293" s="1"/>
    </row>
    <row r="294" spans="1:22" s="5" customFormat="1" ht="13.5">
      <c r="A294" s="172" t="s">
        <v>347</v>
      </c>
      <c r="B294" s="165" t="s">
        <v>239</v>
      </c>
      <c r="C294" s="165" t="s">
        <v>324</v>
      </c>
      <c r="D294" s="165" t="s">
        <v>348</v>
      </c>
      <c r="E294" s="173">
        <v>1.5</v>
      </c>
      <c r="F294" s="167">
        <v>42</v>
      </c>
      <c r="G294" s="168">
        <f t="shared" si="11"/>
        <v>63</v>
      </c>
      <c r="H294" s="26">
        <v>0.5357142857142857</v>
      </c>
      <c r="I294" s="26"/>
      <c r="J294" s="26"/>
      <c r="K294" s="26">
        <f t="shared" si="12"/>
        <v>22.5</v>
      </c>
      <c r="L294" s="171" t="s">
        <v>144</v>
      </c>
      <c r="V294" s="1"/>
    </row>
    <row r="295" spans="1:22" s="5" customFormat="1" ht="13.5">
      <c r="A295" s="172" t="s">
        <v>349</v>
      </c>
      <c r="B295" s="165" t="s">
        <v>239</v>
      </c>
      <c r="C295" s="165" t="s">
        <v>324</v>
      </c>
      <c r="D295" s="165" t="s">
        <v>348</v>
      </c>
      <c r="E295" s="173">
        <v>1.5</v>
      </c>
      <c r="F295" s="167">
        <v>52</v>
      </c>
      <c r="G295" s="168">
        <f t="shared" si="11"/>
        <v>78</v>
      </c>
      <c r="H295" s="26">
        <v>0.5357142857142857</v>
      </c>
      <c r="I295" s="26"/>
      <c r="J295" s="26"/>
      <c r="K295" s="26">
        <f t="shared" si="12"/>
        <v>27.857142857142858</v>
      </c>
      <c r="L295" s="171" t="s">
        <v>144</v>
      </c>
      <c r="V295" s="1"/>
    </row>
    <row r="296" spans="1:22" s="5" customFormat="1" ht="13.5">
      <c r="A296" s="172" t="s">
        <v>350</v>
      </c>
      <c r="B296" s="165" t="s">
        <v>239</v>
      </c>
      <c r="C296" s="165" t="s">
        <v>324</v>
      </c>
      <c r="D296" s="165" t="s">
        <v>348</v>
      </c>
      <c r="E296" s="173">
        <v>1.5</v>
      </c>
      <c r="F296" s="167">
        <v>16</v>
      </c>
      <c r="G296" s="168">
        <f t="shared" si="11"/>
        <v>24</v>
      </c>
      <c r="H296" s="26">
        <v>0.5357142857142857</v>
      </c>
      <c r="I296" s="26"/>
      <c r="J296" s="26"/>
      <c r="K296" s="26">
        <f t="shared" si="12"/>
        <v>8.571428571428571</v>
      </c>
      <c r="L296" s="171" t="s">
        <v>144</v>
      </c>
      <c r="V296" s="1"/>
    </row>
    <row r="297" spans="1:22" s="5" customFormat="1" ht="25.5">
      <c r="A297" s="172" t="s">
        <v>351</v>
      </c>
      <c r="B297" s="165" t="s">
        <v>239</v>
      </c>
      <c r="C297" s="165" t="s">
        <v>240</v>
      </c>
      <c r="D297" s="165" t="s">
        <v>352</v>
      </c>
      <c r="E297" s="173">
        <v>1.06</v>
      </c>
      <c r="F297" s="167">
        <v>6</v>
      </c>
      <c r="G297" s="168">
        <f t="shared" si="11"/>
        <v>6.36</v>
      </c>
      <c r="H297" s="26">
        <v>0.3785714285714286</v>
      </c>
      <c r="I297" s="26"/>
      <c r="J297" s="26"/>
      <c r="K297" s="26">
        <f t="shared" si="12"/>
        <v>2.271428571428572</v>
      </c>
      <c r="L297" s="171" t="s">
        <v>144</v>
      </c>
      <c r="V297" s="1"/>
    </row>
    <row r="298" spans="1:22" s="5" customFormat="1" ht="25.5">
      <c r="A298" s="172" t="s">
        <v>353</v>
      </c>
      <c r="B298" s="165" t="s">
        <v>239</v>
      </c>
      <c r="C298" s="165" t="s">
        <v>240</v>
      </c>
      <c r="D298" s="165" t="s">
        <v>352</v>
      </c>
      <c r="E298" s="173">
        <v>1.06</v>
      </c>
      <c r="F298" s="167">
        <v>9</v>
      </c>
      <c r="G298" s="168">
        <f t="shared" si="11"/>
        <v>9.540000000000001</v>
      </c>
      <c r="H298" s="26">
        <v>0.3785714285714286</v>
      </c>
      <c r="I298" s="26"/>
      <c r="J298" s="26"/>
      <c r="K298" s="26">
        <f t="shared" si="12"/>
        <v>3.4071428571428575</v>
      </c>
      <c r="L298" s="171" t="s">
        <v>144</v>
      </c>
      <c r="V298" s="1"/>
    </row>
    <row r="299" spans="1:22" s="5" customFormat="1" ht="13.5">
      <c r="A299" s="172" t="s">
        <v>354</v>
      </c>
      <c r="B299" s="165" t="s">
        <v>239</v>
      </c>
      <c r="C299" s="165" t="s">
        <v>298</v>
      </c>
      <c r="D299" s="165" t="s">
        <v>299</v>
      </c>
      <c r="E299" s="166">
        <v>2.8</v>
      </c>
      <c r="F299" s="167">
        <f>94+100</f>
        <v>194</v>
      </c>
      <c r="G299" s="168">
        <f t="shared" si="11"/>
        <v>543.1999999999999</v>
      </c>
      <c r="H299" s="26">
        <v>1</v>
      </c>
      <c r="I299" s="26"/>
      <c r="J299" s="26"/>
      <c r="K299" s="26">
        <f t="shared" si="12"/>
        <v>194</v>
      </c>
      <c r="L299" s="171" t="s">
        <v>144</v>
      </c>
      <c r="V299" s="1"/>
    </row>
    <row r="300" spans="1:22" s="5" customFormat="1" ht="13.5">
      <c r="A300" s="172" t="s">
        <v>355</v>
      </c>
      <c r="B300" s="165" t="s">
        <v>239</v>
      </c>
      <c r="C300" s="165" t="s">
        <v>319</v>
      </c>
      <c r="D300" s="165" t="s">
        <v>320</v>
      </c>
      <c r="E300" s="173">
        <v>0.58</v>
      </c>
      <c r="F300" s="167">
        <f>79</f>
        <v>79</v>
      </c>
      <c r="G300" s="168">
        <f t="shared" si="11"/>
        <v>45.82</v>
      </c>
      <c r="H300" s="26">
        <v>0.20714285714285713</v>
      </c>
      <c r="I300" s="26"/>
      <c r="J300" s="26"/>
      <c r="K300" s="26">
        <f t="shared" si="12"/>
        <v>16.364285714285714</v>
      </c>
      <c r="L300" s="171" t="s">
        <v>144</v>
      </c>
      <c r="V300" s="1"/>
    </row>
    <row r="301" spans="1:22" s="5" customFormat="1" ht="13.5">
      <c r="A301" s="172" t="s">
        <v>356</v>
      </c>
      <c r="B301" s="165" t="s">
        <v>239</v>
      </c>
      <c r="C301" s="165" t="s">
        <v>319</v>
      </c>
      <c r="D301" s="165" t="s">
        <v>320</v>
      </c>
      <c r="E301" s="173">
        <v>0.65</v>
      </c>
      <c r="F301" s="167">
        <f>44</f>
        <v>44</v>
      </c>
      <c r="G301" s="168">
        <f t="shared" si="11"/>
        <v>28.6</v>
      </c>
      <c r="H301" s="26">
        <v>0.23214285714285718</v>
      </c>
      <c r="I301" s="26"/>
      <c r="J301" s="26"/>
      <c r="K301" s="26">
        <f t="shared" si="12"/>
        <v>10.214285714285715</v>
      </c>
      <c r="L301" s="171" t="s">
        <v>144</v>
      </c>
      <c r="V301" s="1"/>
    </row>
    <row r="302" spans="1:22" s="5" customFormat="1" ht="13.5">
      <c r="A302" s="172" t="s">
        <v>357</v>
      </c>
      <c r="B302" s="165" t="s">
        <v>239</v>
      </c>
      <c r="C302" s="165" t="s">
        <v>240</v>
      </c>
      <c r="D302" s="165" t="s">
        <v>241</v>
      </c>
      <c r="E302" s="173">
        <v>0.8</v>
      </c>
      <c r="F302" s="167">
        <v>1</v>
      </c>
      <c r="G302" s="168">
        <f t="shared" si="11"/>
        <v>0.8</v>
      </c>
      <c r="H302" s="26">
        <v>0.28571428571428575</v>
      </c>
      <c r="I302" s="26"/>
      <c r="J302" s="26"/>
      <c r="K302" s="26">
        <f t="shared" si="12"/>
        <v>0.28571428571428575</v>
      </c>
      <c r="L302" s="171" t="s">
        <v>144</v>
      </c>
      <c r="V302" s="1"/>
    </row>
    <row r="303" spans="1:22" s="5" customFormat="1" ht="13.5">
      <c r="A303" s="172" t="s">
        <v>358</v>
      </c>
      <c r="B303" s="165" t="s">
        <v>239</v>
      </c>
      <c r="C303" s="165" t="s">
        <v>240</v>
      </c>
      <c r="D303" s="165" t="s">
        <v>241</v>
      </c>
      <c r="E303" s="173">
        <v>0.8</v>
      </c>
      <c r="F303" s="167">
        <v>1</v>
      </c>
      <c r="G303" s="168">
        <f t="shared" si="11"/>
        <v>0.8</v>
      </c>
      <c r="H303" s="26">
        <v>0.28571428571428575</v>
      </c>
      <c r="I303" s="26"/>
      <c r="J303" s="26"/>
      <c r="K303" s="26">
        <f t="shared" si="12"/>
        <v>0.28571428571428575</v>
      </c>
      <c r="L303" s="171" t="s">
        <v>144</v>
      </c>
      <c r="V303" s="1"/>
    </row>
    <row r="304" spans="1:22" s="5" customFormat="1" ht="13.5">
      <c r="A304" s="172" t="s">
        <v>359</v>
      </c>
      <c r="B304" s="165" t="s">
        <v>239</v>
      </c>
      <c r="C304" s="165" t="s">
        <v>240</v>
      </c>
      <c r="D304" s="165" t="s">
        <v>241</v>
      </c>
      <c r="E304" s="173">
        <v>0.8</v>
      </c>
      <c r="F304" s="167">
        <v>1</v>
      </c>
      <c r="G304" s="168">
        <f t="shared" si="11"/>
        <v>0.8</v>
      </c>
      <c r="H304" s="26">
        <v>0.28571428571428575</v>
      </c>
      <c r="I304" s="26"/>
      <c r="J304" s="26"/>
      <c r="K304" s="26">
        <f t="shared" si="12"/>
        <v>0.28571428571428575</v>
      </c>
      <c r="L304" s="171" t="s">
        <v>144</v>
      </c>
      <c r="V304" s="1"/>
    </row>
    <row r="305" spans="1:22" s="5" customFormat="1" ht="13.5">
      <c r="A305" s="172" t="s">
        <v>360</v>
      </c>
      <c r="B305" s="165" t="s">
        <v>239</v>
      </c>
      <c r="C305" s="165" t="s">
        <v>240</v>
      </c>
      <c r="D305" s="165" t="s">
        <v>241</v>
      </c>
      <c r="E305" s="173">
        <v>0.8</v>
      </c>
      <c r="F305" s="167">
        <v>1</v>
      </c>
      <c r="G305" s="168">
        <f t="shared" si="11"/>
        <v>0.8</v>
      </c>
      <c r="H305" s="26">
        <v>0.28571428571428575</v>
      </c>
      <c r="I305" s="26"/>
      <c r="J305" s="26"/>
      <c r="K305" s="26">
        <f t="shared" si="12"/>
        <v>0.28571428571428575</v>
      </c>
      <c r="L305" s="171" t="s">
        <v>144</v>
      </c>
      <c r="V305" s="1"/>
    </row>
    <row r="306" spans="1:22" s="5" customFormat="1" ht="25.5">
      <c r="A306" s="172" t="s">
        <v>361</v>
      </c>
      <c r="B306" s="165" t="s">
        <v>239</v>
      </c>
      <c r="C306" s="165" t="s">
        <v>240</v>
      </c>
      <c r="D306" s="165" t="s">
        <v>352</v>
      </c>
      <c r="E306" s="173">
        <v>1.1</v>
      </c>
      <c r="F306" s="167">
        <v>24</v>
      </c>
      <c r="G306" s="168">
        <f t="shared" si="11"/>
        <v>26.400000000000002</v>
      </c>
      <c r="H306" s="26">
        <v>0.3928571428571429</v>
      </c>
      <c r="I306" s="26"/>
      <c r="J306" s="26"/>
      <c r="K306" s="26">
        <f t="shared" si="12"/>
        <v>9.42857142857143</v>
      </c>
      <c r="L306" s="171" t="s">
        <v>144</v>
      </c>
      <c r="V306" s="1"/>
    </row>
    <row r="307" spans="1:22" s="5" customFormat="1" ht="25.5">
      <c r="A307" s="172" t="s">
        <v>362</v>
      </c>
      <c r="B307" s="165" t="s">
        <v>239</v>
      </c>
      <c r="C307" s="165" t="s">
        <v>240</v>
      </c>
      <c r="D307" s="165" t="s">
        <v>352</v>
      </c>
      <c r="E307" s="173">
        <v>1.1</v>
      </c>
      <c r="F307" s="167">
        <v>21</v>
      </c>
      <c r="G307" s="168">
        <f t="shared" si="11"/>
        <v>23.1</v>
      </c>
      <c r="H307" s="26">
        <v>0.3928571428571429</v>
      </c>
      <c r="I307" s="26"/>
      <c r="J307" s="26"/>
      <c r="K307" s="26">
        <f t="shared" si="12"/>
        <v>8.250000000000002</v>
      </c>
      <c r="L307" s="171" t="s">
        <v>144</v>
      </c>
      <c r="V307" s="1"/>
    </row>
    <row r="308" spans="1:22" s="5" customFormat="1" ht="13.5">
      <c r="A308" s="164" t="s">
        <v>363</v>
      </c>
      <c r="B308" s="165" t="s">
        <v>239</v>
      </c>
      <c r="C308" s="165" t="s">
        <v>240</v>
      </c>
      <c r="D308" s="165" t="s">
        <v>364</v>
      </c>
      <c r="E308" s="166">
        <v>2.15</v>
      </c>
      <c r="F308" s="167">
        <v>45</v>
      </c>
      <c r="G308" s="168">
        <f t="shared" si="11"/>
        <v>96.75</v>
      </c>
      <c r="H308" s="26">
        <v>0.7678571428571429</v>
      </c>
      <c r="I308" s="26"/>
      <c r="J308" s="26"/>
      <c r="K308" s="26">
        <f t="shared" si="12"/>
        <v>34.55357142857143</v>
      </c>
      <c r="L308" s="171" t="s">
        <v>144</v>
      </c>
      <c r="V308" s="1"/>
    </row>
    <row r="309" spans="1:22" s="5" customFormat="1" ht="13.5">
      <c r="A309" s="172" t="s">
        <v>365</v>
      </c>
      <c r="B309" s="165" t="s">
        <v>286</v>
      </c>
      <c r="C309" s="165" t="s">
        <v>366</v>
      </c>
      <c r="D309" s="165" t="s">
        <v>288</v>
      </c>
      <c r="E309" s="173">
        <v>5</v>
      </c>
      <c r="F309" s="167">
        <f>21</f>
        <v>21</v>
      </c>
      <c r="G309" s="168">
        <f t="shared" si="11"/>
        <v>105</v>
      </c>
      <c r="H309" s="26">
        <v>1.7857142857142858</v>
      </c>
      <c r="I309" s="26"/>
      <c r="J309" s="26"/>
      <c r="K309" s="26">
        <f t="shared" si="12"/>
        <v>37.5</v>
      </c>
      <c r="L309" s="171" t="s">
        <v>144</v>
      </c>
      <c r="V309" s="1"/>
    </row>
    <row r="310" spans="1:22" s="5" customFormat="1" ht="13.5">
      <c r="A310" s="172" t="s">
        <v>365</v>
      </c>
      <c r="B310" s="165" t="s">
        <v>286</v>
      </c>
      <c r="C310" s="165" t="s">
        <v>366</v>
      </c>
      <c r="D310" s="165" t="s">
        <v>367</v>
      </c>
      <c r="E310" s="173">
        <v>5</v>
      </c>
      <c r="F310" s="167">
        <f>1</f>
        <v>1</v>
      </c>
      <c r="G310" s="168">
        <f t="shared" si="11"/>
        <v>5</v>
      </c>
      <c r="H310" s="26">
        <v>1.7857142857142858</v>
      </c>
      <c r="I310" s="26"/>
      <c r="J310" s="26"/>
      <c r="K310" s="26">
        <f t="shared" si="12"/>
        <v>1.7857142857142858</v>
      </c>
      <c r="L310" s="171" t="s">
        <v>144</v>
      </c>
      <c r="V310" s="1"/>
    </row>
    <row r="311" spans="1:22" s="5" customFormat="1" ht="13.5">
      <c r="A311" s="172" t="s">
        <v>365</v>
      </c>
      <c r="B311" s="165" t="s">
        <v>286</v>
      </c>
      <c r="C311" s="165" t="s">
        <v>366</v>
      </c>
      <c r="D311" s="165" t="s">
        <v>368</v>
      </c>
      <c r="E311" s="173">
        <v>5</v>
      </c>
      <c r="F311" s="167">
        <f>4</f>
        <v>4</v>
      </c>
      <c r="G311" s="168">
        <f t="shared" si="11"/>
        <v>20</v>
      </c>
      <c r="H311" s="26">
        <v>1.7857142857142858</v>
      </c>
      <c r="I311" s="26"/>
      <c r="J311" s="26"/>
      <c r="K311" s="26">
        <f t="shared" si="12"/>
        <v>7.142857142857143</v>
      </c>
      <c r="L311" s="171" t="s">
        <v>144</v>
      </c>
      <c r="V311" s="1"/>
    </row>
    <row r="312" spans="1:22" s="5" customFormat="1" ht="13.5">
      <c r="A312" s="172" t="s">
        <v>365</v>
      </c>
      <c r="B312" s="165" t="s">
        <v>286</v>
      </c>
      <c r="C312" s="165" t="s">
        <v>366</v>
      </c>
      <c r="D312" s="165" t="s">
        <v>369</v>
      </c>
      <c r="E312" s="173">
        <v>5</v>
      </c>
      <c r="F312" s="167">
        <f>31</f>
        <v>31</v>
      </c>
      <c r="G312" s="168">
        <f t="shared" si="11"/>
        <v>155</v>
      </c>
      <c r="H312" s="26">
        <v>1.7857142857142858</v>
      </c>
      <c r="I312" s="26"/>
      <c r="J312" s="26"/>
      <c r="K312" s="26">
        <f t="shared" si="12"/>
        <v>55.35714285714286</v>
      </c>
      <c r="L312" s="171" t="s">
        <v>144</v>
      </c>
      <c r="V312" s="1"/>
    </row>
    <row r="313" spans="1:22" s="5" customFormat="1" ht="13.5">
      <c r="A313" s="172" t="s">
        <v>365</v>
      </c>
      <c r="B313" s="165" t="s">
        <v>286</v>
      </c>
      <c r="C313" s="165" t="s">
        <v>366</v>
      </c>
      <c r="D313" s="165" t="s">
        <v>370</v>
      </c>
      <c r="E313" s="173">
        <v>5</v>
      </c>
      <c r="F313" s="167">
        <f>2</f>
        <v>2</v>
      </c>
      <c r="G313" s="168">
        <f t="shared" si="11"/>
        <v>10</v>
      </c>
      <c r="H313" s="26">
        <v>1.7857142857142858</v>
      </c>
      <c r="I313" s="26"/>
      <c r="J313" s="26"/>
      <c r="K313" s="26">
        <f t="shared" si="12"/>
        <v>3.5714285714285716</v>
      </c>
      <c r="L313" s="171" t="s">
        <v>144</v>
      </c>
      <c r="V313" s="1"/>
    </row>
    <row r="314" spans="1:22" s="5" customFormat="1" ht="13.5">
      <c r="A314" s="172" t="s">
        <v>365</v>
      </c>
      <c r="B314" s="165" t="s">
        <v>286</v>
      </c>
      <c r="C314" s="165" t="s">
        <v>366</v>
      </c>
      <c r="D314" s="165" t="s">
        <v>371</v>
      </c>
      <c r="E314" s="173">
        <v>5</v>
      </c>
      <c r="F314" s="167">
        <f>9</f>
        <v>9</v>
      </c>
      <c r="G314" s="168">
        <f t="shared" si="11"/>
        <v>45</v>
      </c>
      <c r="H314" s="26">
        <v>1.7857142857142858</v>
      </c>
      <c r="I314" s="26"/>
      <c r="J314" s="26"/>
      <c r="K314" s="26">
        <f t="shared" si="12"/>
        <v>16.071428571428573</v>
      </c>
      <c r="L314" s="171" t="s">
        <v>144</v>
      </c>
      <c r="V314" s="1"/>
    </row>
    <row r="315" spans="1:22" s="5" customFormat="1" ht="13.5">
      <c r="A315" s="172" t="s">
        <v>372</v>
      </c>
      <c r="B315" s="165" t="s">
        <v>286</v>
      </c>
      <c r="C315" s="165" t="s">
        <v>373</v>
      </c>
      <c r="D315" s="165" t="s">
        <v>367</v>
      </c>
      <c r="E315" s="173">
        <v>7</v>
      </c>
      <c r="F315" s="167">
        <f>2</f>
        <v>2</v>
      </c>
      <c r="G315" s="168">
        <f t="shared" si="11"/>
        <v>14</v>
      </c>
      <c r="H315" s="26">
        <v>2.5</v>
      </c>
      <c r="I315" s="26"/>
      <c r="J315" s="26"/>
      <c r="K315" s="26">
        <f t="shared" si="12"/>
        <v>5</v>
      </c>
      <c r="L315" s="171" t="s">
        <v>144</v>
      </c>
      <c r="V315" s="1"/>
    </row>
    <row r="316" spans="1:22" s="5" customFormat="1" ht="13.5">
      <c r="A316" s="172" t="s">
        <v>372</v>
      </c>
      <c r="B316" s="165" t="s">
        <v>286</v>
      </c>
      <c r="C316" s="165" t="s">
        <v>373</v>
      </c>
      <c r="D316" s="165" t="s">
        <v>371</v>
      </c>
      <c r="E316" s="173">
        <v>7</v>
      </c>
      <c r="F316" s="167">
        <f>1</f>
        <v>1</v>
      </c>
      <c r="G316" s="168">
        <f t="shared" si="11"/>
        <v>7</v>
      </c>
      <c r="H316" s="26">
        <v>2.5</v>
      </c>
      <c r="I316" s="26"/>
      <c r="J316" s="26"/>
      <c r="K316" s="26">
        <f t="shared" si="12"/>
        <v>2.5</v>
      </c>
      <c r="L316" s="171" t="s">
        <v>144</v>
      </c>
      <c r="V316" s="1"/>
    </row>
    <row r="317" spans="1:22" s="5" customFormat="1" ht="13.5">
      <c r="A317" s="172" t="s">
        <v>374</v>
      </c>
      <c r="B317" s="165" t="s">
        <v>286</v>
      </c>
      <c r="C317" s="165" t="s">
        <v>373</v>
      </c>
      <c r="D317" s="165" t="s">
        <v>288</v>
      </c>
      <c r="E317" s="173">
        <v>6</v>
      </c>
      <c r="F317" s="167">
        <f>12</f>
        <v>12</v>
      </c>
      <c r="G317" s="168">
        <f t="shared" si="11"/>
        <v>72</v>
      </c>
      <c r="H317" s="26">
        <v>2.142857142857143</v>
      </c>
      <c r="I317" s="26"/>
      <c r="J317" s="26"/>
      <c r="K317" s="26">
        <f t="shared" si="12"/>
        <v>25.714285714285715</v>
      </c>
      <c r="L317" s="171" t="s">
        <v>144</v>
      </c>
      <c r="V317" s="1"/>
    </row>
    <row r="318" spans="1:22" s="5" customFormat="1" ht="13.5">
      <c r="A318" s="172" t="s">
        <v>374</v>
      </c>
      <c r="B318" s="165" t="s">
        <v>286</v>
      </c>
      <c r="C318" s="165" t="s">
        <v>373</v>
      </c>
      <c r="D318" s="165" t="s">
        <v>289</v>
      </c>
      <c r="E318" s="173">
        <v>6</v>
      </c>
      <c r="F318" s="167">
        <f>6</f>
        <v>6</v>
      </c>
      <c r="G318" s="168">
        <f t="shared" si="11"/>
        <v>36</v>
      </c>
      <c r="H318" s="26">
        <v>2.142857142857143</v>
      </c>
      <c r="I318" s="26"/>
      <c r="J318" s="26"/>
      <c r="K318" s="26">
        <f t="shared" si="12"/>
        <v>12.857142857142858</v>
      </c>
      <c r="L318" s="171" t="s">
        <v>144</v>
      </c>
      <c r="V318" s="1"/>
    </row>
    <row r="319" spans="1:22" s="5" customFormat="1" ht="13.5">
      <c r="A319" s="172" t="s">
        <v>374</v>
      </c>
      <c r="B319" s="165" t="s">
        <v>286</v>
      </c>
      <c r="C319" s="165" t="s">
        <v>373</v>
      </c>
      <c r="D319" s="165" t="s">
        <v>293</v>
      </c>
      <c r="E319" s="173">
        <v>6</v>
      </c>
      <c r="F319" s="167">
        <f>9</f>
        <v>9</v>
      </c>
      <c r="G319" s="168">
        <f t="shared" si="11"/>
        <v>54</v>
      </c>
      <c r="H319" s="26">
        <v>2.142857142857143</v>
      </c>
      <c r="I319" s="26"/>
      <c r="J319" s="26"/>
      <c r="K319" s="26">
        <f t="shared" si="12"/>
        <v>19.285714285714285</v>
      </c>
      <c r="L319" s="171" t="s">
        <v>144</v>
      </c>
      <c r="V319" s="1"/>
    </row>
    <row r="320" spans="1:22" s="5" customFormat="1" ht="13.5">
      <c r="A320" s="172" t="s">
        <v>374</v>
      </c>
      <c r="B320" s="165" t="s">
        <v>286</v>
      </c>
      <c r="C320" s="165" t="s">
        <v>373</v>
      </c>
      <c r="D320" s="165" t="s">
        <v>367</v>
      </c>
      <c r="E320" s="173">
        <v>6</v>
      </c>
      <c r="F320" s="167">
        <f>3</f>
        <v>3</v>
      </c>
      <c r="G320" s="168">
        <f t="shared" si="11"/>
        <v>18</v>
      </c>
      <c r="H320" s="26">
        <v>2.142857142857143</v>
      </c>
      <c r="I320" s="26"/>
      <c r="J320" s="26"/>
      <c r="K320" s="26">
        <f t="shared" si="12"/>
        <v>6.428571428571429</v>
      </c>
      <c r="L320" s="171" t="s">
        <v>144</v>
      </c>
      <c r="V320" s="1"/>
    </row>
    <row r="321" spans="1:22" s="5" customFormat="1" ht="13.5">
      <c r="A321" s="172" t="s">
        <v>374</v>
      </c>
      <c r="B321" s="165" t="s">
        <v>286</v>
      </c>
      <c r="C321" s="165" t="s">
        <v>373</v>
      </c>
      <c r="D321" s="165" t="s">
        <v>375</v>
      </c>
      <c r="E321" s="173">
        <v>6</v>
      </c>
      <c r="F321" s="167">
        <f>20</f>
        <v>20</v>
      </c>
      <c r="G321" s="168">
        <f t="shared" si="11"/>
        <v>120</v>
      </c>
      <c r="H321" s="26">
        <v>2.142857142857143</v>
      </c>
      <c r="I321" s="26"/>
      <c r="J321" s="26"/>
      <c r="K321" s="26">
        <f t="shared" si="12"/>
        <v>42.857142857142854</v>
      </c>
      <c r="L321" s="171" t="s">
        <v>144</v>
      </c>
      <c r="V321" s="1"/>
    </row>
    <row r="322" spans="1:22" s="5" customFormat="1" ht="13.5">
      <c r="A322" s="172" t="s">
        <v>374</v>
      </c>
      <c r="B322" s="165" t="s">
        <v>286</v>
      </c>
      <c r="C322" s="165" t="s">
        <v>373</v>
      </c>
      <c r="D322" s="165" t="s">
        <v>368</v>
      </c>
      <c r="E322" s="173">
        <v>6</v>
      </c>
      <c r="F322" s="167">
        <f>5</f>
        <v>5</v>
      </c>
      <c r="G322" s="168">
        <f t="shared" si="11"/>
        <v>30</v>
      </c>
      <c r="H322" s="26">
        <v>2.142857142857143</v>
      </c>
      <c r="I322" s="26"/>
      <c r="J322" s="26"/>
      <c r="K322" s="26">
        <f t="shared" si="12"/>
        <v>10.714285714285714</v>
      </c>
      <c r="L322" s="171" t="s">
        <v>144</v>
      </c>
      <c r="V322" s="1"/>
    </row>
    <row r="323" spans="1:22" s="5" customFormat="1" ht="13.5">
      <c r="A323" s="172" t="s">
        <v>374</v>
      </c>
      <c r="B323" s="165" t="s">
        <v>286</v>
      </c>
      <c r="C323" s="165" t="s">
        <v>373</v>
      </c>
      <c r="D323" s="165" t="s">
        <v>376</v>
      </c>
      <c r="E323" s="173">
        <v>6</v>
      </c>
      <c r="F323" s="167">
        <f>15</f>
        <v>15</v>
      </c>
      <c r="G323" s="168">
        <f t="shared" si="11"/>
        <v>90</v>
      </c>
      <c r="H323" s="26">
        <v>2.142857142857143</v>
      </c>
      <c r="I323" s="26"/>
      <c r="J323" s="26"/>
      <c r="K323" s="26">
        <f t="shared" si="12"/>
        <v>32.14285714285714</v>
      </c>
      <c r="L323" s="171" t="s">
        <v>144</v>
      </c>
      <c r="V323" s="1"/>
    </row>
    <row r="324" spans="1:22" s="5" customFormat="1" ht="13.5">
      <c r="A324" s="172" t="s">
        <v>374</v>
      </c>
      <c r="B324" s="165" t="s">
        <v>286</v>
      </c>
      <c r="C324" s="165" t="s">
        <v>373</v>
      </c>
      <c r="D324" s="165" t="s">
        <v>377</v>
      </c>
      <c r="E324" s="173">
        <v>6</v>
      </c>
      <c r="F324" s="167">
        <f>3</f>
        <v>3</v>
      </c>
      <c r="G324" s="168">
        <f t="shared" si="11"/>
        <v>18</v>
      </c>
      <c r="H324" s="26">
        <v>2.142857142857143</v>
      </c>
      <c r="I324" s="26"/>
      <c r="J324" s="26"/>
      <c r="K324" s="26">
        <f t="shared" si="12"/>
        <v>6.428571428571429</v>
      </c>
      <c r="L324" s="171" t="s">
        <v>144</v>
      </c>
      <c r="V324" s="1"/>
    </row>
    <row r="325" spans="1:22" s="5" customFormat="1" ht="25.5">
      <c r="A325" s="172" t="s">
        <v>378</v>
      </c>
      <c r="B325" s="165" t="s">
        <v>286</v>
      </c>
      <c r="C325" s="165" t="s">
        <v>379</v>
      </c>
      <c r="D325" s="165" t="s">
        <v>380</v>
      </c>
      <c r="E325" s="173">
        <v>18.42</v>
      </c>
      <c r="F325" s="167">
        <f>2</f>
        <v>2</v>
      </c>
      <c r="G325" s="168">
        <f t="shared" si="11"/>
        <v>36.84</v>
      </c>
      <c r="H325" s="26">
        <v>3.1</v>
      </c>
      <c r="I325" s="26"/>
      <c r="J325" s="26"/>
      <c r="K325" s="26">
        <f t="shared" si="12"/>
        <v>6.2</v>
      </c>
      <c r="L325" s="171" t="s">
        <v>144</v>
      </c>
      <c r="V325" s="1"/>
    </row>
    <row r="326" spans="1:22" s="5" customFormat="1" ht="13.5">
      <c r="A326" s="172" t="s">
        <v>381</v>
      </c>
      <c r="B326" s="165" t="s">
        <v>239</v>
      </c>
      <c r="C326" s="165" t="s">
        <v>244</v>
      </c>
      <c r="D326" s="165" t="s">
        <v>382</v>
      </c>
      <c r="E326" s="173">
        <v>1.72</v>
      </c>
      <c r="F326" s="167">
        <f>313</f>
        <v>313</v>
      </c>
      <c r="G326" s="168">
        <f t="shared" si="11"/>
        <v>538.36</v>
      </c>
      <c r="H326" s="26">
        <v>0.6</v>
      </c>
      <c r="I326" s="26"/>
      <c r="J326" s="26"/>
      <c r="K326" s="26">
        <f t="shared" si="12"/>
        <v>187.79999999999998</v>
      </c>
      <c r="L326" s="171" t="s">
        <v>144</v>
      </c>
      <c r="V326" s="1"/>
    </row>
    <row r="327" spans="1:22" s="5" customFormat="1" ht="13.5">
      <c r="A327" s="172" t="s">
        <v>383</v>
      </c>
      <c r="B327" s="165" t="s">
        <v>239</v>
      </c>
      <c r="C327" s="165" t="s">
        <v>244</v>
      </c>
      <c r="D327" s="165" t="s">
        <v>382</v>
      </c>
      <c r="E327" s="173">
        <v>1.72</v>
      </c>
      <c r="F327" s="167">
        <f>125</f>
        <v>125</v>
      </c>
      <c r="G327" s="168">
        <f t="shared" si="11"/>
        <v>215</v>
      </c>
      <c r="H327" s="26">
        <v>0.6</v>
      </c>
      <c r="I327" s="26"/>
      <c r="J327" s="26"/>
      <c r="K327" s="26">
        <f t="shared" si="12"/>
        <v>75</v>
      </c>
      <c r="L327" s="171" t="s">
        <v>144</v>
      </c>
      <c r="V327" s="1"/>
    </row>
    <row r="328" spans="1:22" s="5" customFormat="1" ht="25.5">
      <c r="A328" s="172" t="s">
        <v>384</v>
      </c>
      <c r="B328" s="165" t="s">
        <v>239</v>
      </c>
      <c r="C328" s="165" t="s">
        <v>298</v>
      </c>
      <c r="D328" s="165" t="s">
        <v>315</v>
      </c>
      <c r="E328" s="173">
        <v>6</v>
      </c>
      <c r="F328" s="167">
        <f>4</f>
        <v>4</v>
      </c>
      <c r="G328" s="168">
        <f t="shared" si="11"/>
        <v>24</v>
      </c>
      <c r="H328" s="26">
        <v>2.1</v>
      </c>
      <c r="I328" s="26"/>
      <c r="J328" s="26"/>
      <c r="K328" s="26">
        <f t="shared" si="12"/>
        <v>8.4</v>
      </c>
      <c r="L328" s="171" t="s">
        <v>144</v>
      </c>
      <c r="V328" s="1"/>
    </row>
    <row r="329" spans="1:22" s="5" customFormat="1" ht="25.5">
      <c r="A329" s="172" t="s">
        <v>385</v>
      </c>
      <c r="B329" s="165" t="s">
        <v>239</v>
      </c>
      <c r="C329" s="165" t="s">
        <v>298</v>
      </c>
      <c r="D329" s="165" t="s">
        <v>315</v>
      </c>
      <c r="E329" s="173">
        <v>6</v>
      </c>
      <c r="F329" s="167">
        <f>5</f>
        <v>5</v>
      </c>
      <c r="G329" s="168">
        <f t="shared" si="11"/>
        <v>30</v>
      </c>
      <c r="H329" s="26">
        <v>2.1</v>
      </c>
      <c r="I329" s="26"/>
      <c r="J329" s="26"/>
      <c r="K329" s="26">
        <f t="shared" si="12"/>
        <v>10.5</v>
      </c>
      <c r="L329" s="171" t="s">
        <v>144</v>
      </c>
      <c r="V329" s="1"/>
    </row>
    <row r="330" spans="1:22" s="5" customFormat="1" ht="25.5">
      <c r="A330" s="172" t="s">
        <v>386</v>
      </c>
      <c r="B330" s="165" t="s">
        <v>239</v>
      </c>
      <c r="C330" s="165" t="s">
        <v>298</v>
      </c>
      <c r="D330" s="165" t="s">
        <v>315</v>
      </c>
      <c r="E330" s="173">
        <v>6</v>
      </c>
      <c r="F330" s="167">
        <f>7</f>
        <v>7</v>
      </c>
      <c r="G330" s="168">
        <f t="shared" si="11"/>
        <v>42</v>
      </c>
      <c r="H330" s="26">
        <v>2.1</v>
      </c>
      <c r="I330" s="26"/>
      <c r="J330" s="26"/>
      <c r="K330" s="26">
        <f t="shared" si="12"/>
        <v>14.700000000000001</v>
      </c>
      <c r="L330" s="171" t="s">
        <v>144</v>
      </c>
      <c r="V330" s="1"/>
    </row>
    <row r="331" spans="1:22" s="5" customFormat="1" ht="25.5">
      <c r="A331" s="172" t="s">
        <v>387</v>
      </c>
      <c r="B331" s="165" t="s">
        <v>239</v>
      </c>
      <c r="C331" s="165" t="s">
        <v>298</v>
      </c>
      <c r="D331" s="165" t="s">
        <v>315</v>
      </c>
      <c r="E331" s="173">
        <v>6</v>
      </c>
      <c r="F331" s="167">
        <f>3</f>
        <v>3</v>
      </c>
      <c r="G331" s="168">
        <f t="shared" si="11"/>
        <v>18</v>
      </c>
      <c r="H331" s="26">
        <v>2.1</v>
      </c>
      <c r="I331" s="26"/>
      <c r="J331" s="26"/>
      <c r="K331" s="26">
        <f t="shared" si="12"/>
        <v>6.300000000000001</v>
      </c>
      <c r="L331" s="171" t="s">
        <v>144</v>
      </c>
      <c r="V331" s="1"/>
    </row>
    <row r="332" spans="1:22" s="5" customFormat="1" ht="25.5">
      <c r="A332" s="172" t="s">
        <v>388</v>
      </c>
      <c r="B332" s="165" t="s">
        <v>239</v>
      </c>
      <c r="C332" s="165" t="s">
        <v>298</v>
      </c>
      <c r="D332" s="165" t="s">
        <v>315</v>
      </c>
      <c r="E332" s="173">
        <v>6</v>
      </c>
      <c r="F332" s="167">
        <f>6</f>
        <v>6</v>
      </c>
      <c r="G332" s="168">
        <f t="shared" si="11"/>
        <v>36</v>
      </c>
      <c r="H332" s="26">
        <v>2.1</v>
      </c>
      <c r="I332" s="26"/>
      <c r="J332" s="26"/>
      <c r="K332" s="26">
        <f t="shared" si="12"/>
        <v>12.600000000000001</v>
      </c>
      <c r="L332" s="171" t="s">
        <v>144</v>
      </c>
      <c r="V332" s="1"/>
    </row>
    <row r="333" spans="1:22" s="5" customFormat="1" ht="25.5">
      <c r="A333" s="172" t="s">
        <v>389</v>
      </c>
      <c r="B333" s="165" t="s">
        <v>239</v>
      </c>
      <c r="C333" s="165" t="s">
        <v>298</v>
      </c>
      <c r="D333" s="165" t="s">
        <v>315</v>
      </c>
      <c r="E333" s="173">
        <v>6</v>
      </c>
      <c r="F333" s="167">
        <v>3</v>
      </c>
      <c r="G333" s="168">
        <f t="shared" si="11"/>
        <v>18</v>
      </c>
      <c r="H333" s="26">
        <v>2.1</v>
      </c>
      <c r="I333" s="26"/>
      <c r="J333" s="26"/>
      <c r="K333" s="26">
        <f t="shared" si="12"/>
        <v>6.300000000000001</v>
      </c>
      <c r="L333" s="171" t="s">
        <v>144</v>
      </c>
      <c r="V333" s="1"/>
    </row>
    <row r="334" spans="1:22" s="5" customFormat="1" ht="25.5">
      <c r="A334" s="172" t="s">
        <v>390</v>
      </c>
      <c r="B334" s="165" t="s">
        <v>239</v>
      </c>
      <c r="C334" s="165" t="s">
        <v>298</v>
      </c>
      <c r="D334" s="165" t="s">
        <v>315</v>
      </c>
      <c r="E334" s="173">
        <v>18</v>
      </c>
      <c r="F334" s="167">
        <f>1</f>
        <v>1</v>
      </c>
      <c r="G334" s="168">
        <f t="shared" si="11"/>
        <v>18</v>
      </c>
      <c r="H334" s="26">
        <v>3.2</v>
      </c>
      <c r="I334" s="26"/>
      <c r="J334" s="26"/>
      <c r="K334" s="26">
        <f t="shared" si="12"/>
        <v>3.2</v>
      </c>
      <c r="L334" s="171" t="s">
        <v>144</v>
      </c>
      <c r="V334" s="1"/>
    </row>
    <row r="335" spans="1:22" s="5" customFormat="1" ht="25.5">
      <c r="A335" s="172" t="s">
        <v>391</v>
      </c>
      <c r="B335" s="165" t="s">
        <v>239</v>
      </c>
      <c r="C335" s="165" t="s">
        <v>298</v>
      </c>
      <c r="D335" s="165" t="s">
        <v>315</v>
      </c>
      <c r="E335" s="166">
        <v>18</v>
      </c>
      <c r="F335" s="167">
        <f>3</f>
        <v>3</v>
      </c>
      <c r="G335" s="168">
        <f t="shared" si="11"/>
        <v>54</v>
      </c>
      <c r="H335" s="26">
        <v>3.2</v>
      </c>
      <c r="I335" s="26"/>
      <c r="J335" s="26"/>
      <c r="K335" s="26">
        <f t="shared" si="12"/>
        <v>9.600000000000001</v>
      </c>
      <c r="L335" s="171" t="s">
        <v>144</v>
      </c>
      <c r="V335" s="1"/>
    </row>
    <row r="336" spans="1:22" s="5" customFormat="1" ht="25.5">
      <c r="A336" s="172" t="s">
        <v>392</v>
      </c>
      <c r="B336" s="165" t="s">
        <v>239</v>
      </c>
      <c r="C336" s="165" t="s">
        <v>298</v>
      </c>
      <c r="D336" s="165" t="s">
        <v>393</v>
      </c>
      <c r="E336" s="173">
        <v>3.8</v>
      </c>
      <c r="F336" s="167">
        <v>145</v>
      </c>
      <c r="G336" s="168">
        <f t="shared" si="11"/>
        <v>551</v>
      </c>
      <c r="H336" s="26">
        <v>1.3571428571428572</v>
      </c>
      <c r="I336" s="26"/>
      <c r="J336" s="26"/>
      <c r="K336" s="26">
        <f t="shared" si="12"/>
        <v>196.7857142857143</v>
      </c>
      <c r="L336" s="171" t="s">
        <v>144</v>
      </c>
      <c r="V336" s="1"/>
    </row>
    <row r="337" spans="1:22" s="5" customFormat="1" ht="25.5">
      <c r="A337" s="172" t="s">
        <v>394</v>
      </c>
      <c r="B337" s="165" t="s">
        <v>239</v>
      </c>
      <c r="C337" s="165" t="s">
        <v>298</v>
      </c>
      <c r="D337" s="165" t="s">
        <v>393</v>
      </c>
      <c r="E337" s="173">
        <v>3.8</v>
      </c>
      <c r="F337" s="167">
        <f aca="true" t="shared" si="17" ref="F337:F338">100+50</f>
        <v>150</v>
      </c>
      <c r="G337" s="168">
        <f t="shared" si="11"/>
        <v>570</v>
      </c>
      <c r="H337" s="26">
        <v>1.3571428571428572</v>
      </c>
      <c r="I337" s="26"/>
      <c r="J337" s="26"/>
      <c r="K337" s="26">
        <f t="shared" si="12"/>
        <v>203.57142857142858</v>
      </c>
      <c r="L337" s="171" t="s">
        <v>144</v>
      </c>
      <c r="V337" s="1"/>
    </row>
    <row r="338" spans="1:22" s="5" customFormat="1" ht="25.5">
      <c r="A338" s="172" t="s">
        <v>395</v>
      </c>
      <c r="B338" s="165" t="s">
        <v>239</v>
      </c>
      <c r="C338" s="165" t="s">
        <v>298</v>
      </c>
      <c r="D338" s="165" t="s">
        <v>393</v>
      </c>
      <c r="E338" s="173">
        <v>3.8</v>
      </c>
      <c r="F338" s="167">
        <f t="shared" si="17"/>
        <v>150</v>
      </c>
      <c r="G338" s="168">
        <f t="shared" si="11"/>
        <v>570</v>
      </c>
      <c r="H338" s="26">
        <v>1.3571428571428572</v>
      </c>
      <c r="I338" s="26"/>
      <c r="J338" s="26"/>
      <c r="K338" s="26">
        <f t="shared" si="12"/>
        <v>203.57142857142858</v>
      </c>
      <c r="L338" s="171"/>
      <c r="V338" s="1"/>
    </row>
    <row r="339" spans="1:22" s="5" customFormat="1" ht="25.5">
      <c r="A339" s="172" t="s">
        <v>396</v>
      </c>
      <c r="B339" s="165" t="s">
        <v>239</v>
      </c>
      <c r="C339" s="165" t="s">
        <v>298</v>
      </c>
      <c r="D339" s="165" t="s">
        <v>393</v>
      </c>
      <c r="E339" s="173">
        <v>3.8</v>
      </c>
      <c r="F339" s="167">
        <v>145</v>
      </c>
      <c r="G339" s="168">
        <f t="shared" si="11"/>
        <v>551</v>
      </c>
      <c r="H339" s="26">
        <v>1.3571428571428572</v>
      </c>
      <c r="I339" s="26"/>
      <c r="J339" s="26"/>
      <c r="K339" s="26">
        <f t="shared" si="12"/>
        <v>196.7857142857143</v>
      </c>
      <c r="L339" s="171" t="s">
        <v>144</v>
      </c>
      <c r="V339" s="1"/>
    </row>
    <row r="340" spans="1:22" s="5" customFormat="1" ht="25.5">
      <c r="A340" s="172" t="s">
        <v>397</v>
      </c>
      <c r="B340" s="165" t="s">
        <v>239</v>
      </c>
      <c r="C340" s="165" t="s">
        <v>298</v>
      </c>
      <c r="D340" s="165" t="s">
        <v>393</v>
      </c>
      <c r="E340" s="173">
        <v>3.8</v>
      </c>
      <c r="F340" s="167">
        <v>123</v>
      </c>
      <c r="G340" s="168">
        <f t="shared" si="11"/>
        <v>467.4</v>
      </c>
      <c r="H340" s="26">
        <v>1.3571428571428572</v>
      </c>
      <c r="I340" s="26"/>
      <c r="J340" s="26"/>
      <c r="K340" s="26">
        <f t="shared" si="12"/>
        <v>166.92857142857144</v>
      </c>
      <c r="L340" s="171" t="s">
        <v>144</v>
      </c>
      <c r="V340" s="1"/>
    </row>
    <row r="341" spans="1:22" s="5" customFormat="1" ht="25.5">
      <c r="A341" s="172" t="s">
        <v>398</v>
      </c>
      <c r="B341" s="165" t="s">
        <v>239</v>
      </c>
      <c r="C341" s="165" t="s">
        <v>298</v>
      </c>
      <c r="D341" s="165" t="s">
        <v>393</v>
      </c>
      <c r="E341" s="173">
        <v>3.8</v>
      </c>
      <c r="F341" s="167">
        <f>50+100</f>
        <v>150</v>
      </c>
      <c r="G341" s="168">
        <f t="shared" si="11"/>
        <v>570</v>
      </c>
      <c r="H341" s="26">
        <v>1.3571428571428572</v>
      </c>
      <c r="I341" s="26"/>
      <c r="J341" s="26"/>
      <c r="K341" s="26">
        <f t="shared" si="12"/>
        <v>203.57142857142858</v>
      </c>
      <c r="L341" s="171" t="s">
        <v>144</v>
      </c>
      <c r="V341" s="1"/>
    </row>
    <row r="342" spans="1:22" s="5" customFormat="1" ht="25.5">
      <c r="A342" s="172" t="s">
        <v>399</v>
      </c>
      <c r="B342" s="165" t="s">
        <v>239</v>
      </c>
      <c r="C342" s="165" t="s">
        <v>298</v>
      </c>
      <c r="D342" s="165" t="s">
        <v>393</v>
      </c>
      <c r="E342" s="173">
        <v>3.8</v>
      </c>
      <c r="F342" s="167">
        <f>50+79</f>
        <v>129</v>
      </c>
      <c r="G342" s="168">
        <f t="shared" si="11"/>
        <v>490.2</v>
      </c>
      <c r="H342" s="26">
        <v>1.3571428571428572</v>
      </c>
      <c r="I342" s="26"/>
      <c r="J342" s="26"/>
      <c r="K342" s="26">
        <f t="shared" si="12"/>
        <v>175.07142857142858</v>
      </c>
      <c r="L342" s="171" t="s">
        <v>144</v>
      </c>
      <c r="V342" s="1"/>
    </row>
    <row r="343" spans="1:22" s="5" customFormat="1" ht="25.5">
      <c r="A343" s="172" t="s">
        <v>400</v>
      </c>
      <c r="B343" s="165" t="s">
        <v>239</v>
      </c>
      <c r="C343" s="165" t="s">
        <v>298</v>
      </c>
      <c r="D343" s="165" t="s">
        <v>393</v>
      </c>
      <c r="E343" s="173">
        <v>3.8</v>
      </c>
      <c r="F343" s="167">
        <v>145</v>
      </c>
      <c r="G343" s="168">
        <f t="shared" si="11"/>
        <v>551</v>
      </c>
      <c r="H343" s="26">
        <v>1.3571428571428572</v>
      </c>
      <c r="I343" s="26"/>
      <c r="J343" s="26"/>
      <c r="K343" s="26">
        <f t="shared" si="12"/>
        <v>196.7857142857143</v>
      </c>
      <c r="L343" s="171" t="s">
        <v>144</v>
      </c>
      <c r="V343" s="1"/>
    </row>
    <row r="344" spans="1:22" s="5" customFormat="1" ht="26.25">
      <c r="A344" s="184" t="s">
        <v>401</v>
      </c>
      <c r="B344" s="175" t="s">
        <v>239</v>
      </c>
      <c r="C344" s="175" t="s">
        <v>298</v>
      </c>
      <c r="D344" s="175" t="s">
        <v>393</v>
      </c>
      <c r="E344" s="176">
        <v>3.8</v>
      </c>
      <c r="F344" s="177">
        <v>145</v>
      </c>
      <c r="G344" s="178">
        <f t="shared" si="11"/>
        <v>551</v>
      </c>
      <c r="H344" s="26">
        <v>1.3571428571428572</v>
      </c>
      <c r="I344" s="26"/>
      <c r="J344" s="26"/>
      <c r="K344" s="26">
        <f t="shared" si="12"/>
        <v>196.7857142857143</v>
      </c>
      <c r="L344" s="171" t="s">
        <v>144</v>
      </c>
      <c r="V344" s="1"/>
    </row>
    <row r="345" spans="1:22" s="5" customFormat="1" ht="25.5">
      <c r="A345" s="185" t="s">
        <v>402</v>
      </c>
      <c r="B345" s="180" t="s">
        <v>239</v>
      </c>
      <c r="C345" s="180" t="s">
        <v>298</v>
      </c>
      <c r="D345" s="180" t="s">
        <v>393</v>
      </c>
      <c r="E345" s="181">
        <v>3.8</v>
      </c>
      <c r="F345" s="182">
        <v>145</v>
      </c>
      <c r="G345" s="183">
        <f t="shared" si="11"/>
        <v>551</v>
      </c>
      <c r="H345" s="26">
        <v>1.3571428571428572</v>
      </c>
      <c r="I345" s="26"/>
      <c r="J345" s="26"/>
      <c r="K345" s="26">
        <f t="shared" si="12"/>
        <v>196.7857142857143</v>
      </c>
      <c r="L345" s="171" t="s">
        <v>144</v>
      </c>
      <c r="V345" s="1"/>
    </row>
    <row r="346" spans="1:22" s="5" customFormat="1" ht="25.5">
      <c r="A346" s="172" t="s">
        <v>403</v>
      </c>
      <c r="B346" s="165" t="s">
        <v>239</v>
      </c>
      <c r="C346" s="165" t="s">
        <v>298</v>
      </c>
      <c r="D346" s="165" t="s">
        <v>393</v>
      </c>
      <c r="E346" s="173">
        <v>3.8</v>
      </c>
      <c r="F346" s="167">
        <v>145</v>
      </c>
      <c r="G346" s="168">
        <f t="shared" si="11"/>
        <v>551</v>
      </c>
      <c r="H346" s="26">
        <v>1.3571428571428572</v>
      </c>
      <c r="I346" s="26"/>
      <c r="J346" s="26"/>
      <c r="K346" s="26">
        <f t="shared" si="12"/>
        <v>196.7857142857143</v>
      </c>
      <c r="L346" s="171" t="s">
        <v>144</v>
      </c>
      <c r="V346" s="1"/>
    </row>
    <row r="347" spans="1:22" s="5" customFormat="1" ht="25.5">
      <c r="A347" s="172" t="s">
        <v>404</v>
      </c>
      <c r="B347" s="165" t="s">
        <v>239</v>
      </c>
      <c r="C347" s="165" t="s">
        <v>298</v>
      </c>
      <c r="D347" s="165" t="s">
        <v>393</v>
      </c>
      <c r="E347" s="173">
        <v>3.8</v>
      </c>
      <c r="F347" s="167">
        <v>145</v>
      </c>
      <c r="G347" s="168">
        <f t="shared" si="11"/>
        <v>551</v>
      </c>
      <c r="H347" s="26">
        <v>1.3571428571428572</v>
      </c>
      <c r="I347" s="26"/>
      <c r="J347" s="26"/>
      <c r="K347" s="26">
        <f t="shared" si="12"/>
        <v>196.7857142857143</v>
      </c>
      <c r="L347" s="171" t="s">
        <v>144</v>
      </c>
      <c r="V347" s="1"/>
    </row>
    <row r="348" spans="1:22" s="5" customFormat="1" ht="25.5">
      <c r="A348" s="172" t="s">
        <v>405</v>
      </c>
      <c r="B348" s="165" t="s">
        <v>239</v>
      </c>
      <c r="C348" s="165" t="s">
        <v>298</v>
      </c>
      <c r="D348" s="165" t="s">
        <v>393</v>
      </c>
      <c r="E348" s="173">
        <v>3.8</v>
      </c>
      <c r="F348" s="167">
        <v>145</v>
      </c>
      <c r="G348" s="168">
        <f t="shared" si="11"/>
        <v>551</v>
      </c>
      <c r="H348" s="26">
        <v>1.3571428571428572</v>
      </c>
      <c r="I348" s="26"/>
      <c r="J348" s="26"/>
      <c r="K348" s="26">
        <f t="shared" si="12"/>
        <v>196.7857142857143</v>
      </c>
      <c r="L348" s="171" t="s">
        <v>144</v>
      </c>
      <c r="V348" s="1"/>
    </row>
    <row r="349" spans="1:22" s="5" customFormat="1" ht="13.5">
      <c r="A349" s="172" t="s">
        <v>406</v>
      </c>
      <c r="B349" s="165" t="s">
        <v>286</v>
      </c>
      <c r="C349" s="165" t="s">
        <v>379</v>
      </c>
      <c r="D349" s="165" t="s">
        <v>407</v>
      </c>
      <c r="E349" s="173">
        <v>11.96</v>
      </c>
      <c r="F349" s="167">
        <f>9</f>
        <v>9</v>
      </c>
      <c r="G349" s="168">
        <f t="shared" si="11"/>
        <v>107.64000000000001</v>
      </c>
      <c r="H349" s="26">
        <v>3.1</v>
      </c>
      <c r="I349" s="26"/>
      <c r="J349" s="26"/>
      <c r="K349" s="26">
        <f t="shared" si="12"/>
        <v>27.900000000000002</v>
      </c>
      <c r="L349" s="171" t="s">
        <v>144</v>
      </c>
      <c r="V349" s="1"/>
    </row>
    <row r="350" spans="1:22" s="5" customFormat="1" ht="13.5">
      <c r="A350" s="172" t="s">
        <v>408</v>
      </c>
      <c r="B350" s="165" t="s">
        <v>239</v>
      </c>
      <c r="C350" s="165" t="s">
        <v>298</v>
      </c>
      <c r="D350" s="165" t="s">
        <v>409</v>
      </c>
      <c r="E350" s="166">
        <v>1.22</v>
      </c>
      <c r="F350" s="167">
        <f>500+500+500+500+499+250</f>
        <v>2749</v>
      </c>
      <c r="G350" s="168">
        <f t="shared" si="11"/>
        <v>3353.7799999999997</v>
      </c>
      <c r="H350" s="26">
        <v>0.44</v>
      </c>
      <c r="I350" s="26"/>
      <c r="J350" s="26"/>
      <c r="K350" s="26">
        <f t="shared" si="12"/>
        <v>1209.56</v>
      </c>
      <c r="L350" s="171" t="s">
        <v>144</v>
      </c>
      <c r="V350" s="1"/>
    </row>
    <row r="351" spans="1:22" s="5" customFormat="1" ht="13.5">
      <c r="A351" s="172" t="s">
        <v>410</v>
      </c>
      <c r="B351" s="165" t="s">
        <v>239</v>
      </c>
      <c r="C351" s="165" t="s">
        <v>244</v>
      </c>
      <c r="D351" s="165" t="s">
        <v>382</v>
      </c>
      <c r="E351" s="173">
        <v>1.72</v>
      </c>
      <c r="F351" s="167">
        <f>205</f>
        <v>205</v>
      </c>
      <c r="G351" s="168">
        <f t="shared" si="11"/>
        <v>352.6</v>
      </c>
      <c r="H351" s="26">
        <v>0.6</v>
      </c>
      <c r="I351" s="26"/>
      <c r="J351" s="26"/>
      <c r="K351" s="26">
        <f t="shared" si="12"/>
        <v>123</v>
      </c>
      <c r="L351" s="171" t="s">
        <v>144</v>
      </c>
      <c r="V351" s="1"/>
    </row>
    <row r="352" spans="1:22" s="5" customFormat="1" ht="13.5">
      <c r="A352" s="172" t="s">
        <v>411</v>
      </c>
      <c r="B352" s="165" t="s">
        <v>239</v>
      </c>
      <c r="C352" s="165" t="s">
        <v>244</v>
      </c>
      <c r="D352" s="165" t="s">
        <v>382</v>
      </c>
      <c r="E352" s="173">
        <v>1.72</v>
      </c>
      <c r="F352" s="167">
        <f>625+295</f>
        <v>920</v>
      </c>
      <c r="G352" s="168">
        <f t="shared" si="11"/>
        <v>1582.3999999999999</v>
      </c>
      <c r="H352" s="26">
        <v>0.6</v>
      </c>
      <c r="I352" s="26"/>
      <c r="J352" s="26"/>
      <c r="K352" s="26">
        <f t="shared" si="12"/>
        <v>552</v>
      </c>
      <c r="L352" s="171" t="s">
        <v>144</v>
      </c>
      <c r="V352" s="1"/>
    </row>
    <row r="353" spans="1:22" s="5" customFormat="1" ht="13.5">
      <c r="A353" s="172" t="s">
        <v>412</v>
      </c>
      <c r="B353" s="165" t="s">
        <v>239</v>
      </c>
      <c r="C353" s="165" t="s">
        <v>244</v>
      </c>
      <c r="D353" s="165" t="s">
        <v>382</v>
      </c>
      <c r="E353" s="173">
        <v>1.72</v>
      </c>
      <c r="F353" s="167">
        <f>187</f>
        <v>187</v>
      </c>
      <c r="G353" s="168">
        <f t="shared" si="11"/>
        <v>321.64</v>
      </c>
      <c r="H353" s="26">
        <v>0.6</v>
      </c>
      <c r="I353" s="26"/>
      <c r="J353" s="26"/>
      <c r="K353" s="26">
        <f t="shared" si="12"/>
        <v>112.2</v>
      </c>
      <c r="L353" s="171" t="s">
        <v>144</v>
      </c>
      <c r="V353" s="1"/>
    </row>
    <row r="354" spans="1:22" s="5" customFormat="1" ht="13.5">
      <c r="A354" s="172" t="s">
        <v>413</v>
      </c>
      <c r="B354" s="165" t="s">
        <v>239</v>
      </c>
      <c r="C354" s="165" t="s">
        <v>244</v>
      </c>
      <c r="D354" s="165" t="s">
        <v>382</v>
      </c>
      <c r="E354" s="173">
        <v>1.72</v>
      </c>
      <c r="F354" s="167">
        <f>425</f>
        <v>425</v>
      </c>
      <c r="G354" s="168">
        <f t="shared" si="11"/>
        <v>731</v>
      </c>
      <c r="H354" s="26">
        <v>0.6</v>
      </c>
      <c r="I354" s="26"/>
      <c r="J354" s="26"/>
      <c r="K354" s="26">
        <f t="shared" si="12"/>
        <v>255</v>
      </c>
      <c r="L354" s="171" t="s">
        <v>144</v>
      </c>
      <c r="V354" s="1"/>
    </row>
    <row r="355" spans="1:22" s="5" customFormat="1" ht="13.5">
      <c r="A355" s="172" t="s">
        <v>414</v>
      </c>
      <c r="B355" s="165" t="s">
        <v>239</v>
      </c>
      <c r="C355" s="165" t="s">
        <v>244</v>
      </c>
      <c r="D355" s="165" t="s">
        <v>382</v>
      </c>
      <c r="E355" s="173">
        <v>1.72</v>
      </c>
      <c r="F355" s="167">
        <f>305</f>
        <v>305</v>
      </c>
      <c r="G355" s="168">
        <f t="shared" si="11"/>
        <v>524.6</v>
      </c>
      <c r="H355" s="26">
        <v>0.6</v>
      </c>
      <c r="I355" s="26"/>
      <c r="J355" s="26"/>
      <c r="K355" s="26">
        <f t="shared" si="12"/>
        <v>183</v>
      </c>
      <c r="L355" s="171" t="s">
        <v>144</v>
      </c>
      <c r="V355" s="1"/>
    </row>
    <row r="356" spans="1:22" s="5" customFormat="1" ht="13.5">
      <c r="A356" s="172" t="s">
        <v>415</v>
      </c>
      <c r="B356" s="165" t="s">
        <v>239</v>
      </c>
      <c r="C356" s="165" t="s">
        <v>244</v>
      </c>
      <c r="D356" s="165" t="s">
        <v>382</v>
      </c>
      <c r="E356" s="173">
        <v>1.72</v>
      </c>
      <c r="F356" s="167">
        <f>298</f>
        <v>298</v>
      </c>
      <c r="G356" s="168">
        <f t="shared" si="11"/>
        <v>512.56</v>
      </c>
      <c r="H356" s="26">
        <v>0.6</v>
      </c>
      <c r="I356" s="26"/>
      <c r="J356" s="26"/>
      <c r="K356" s="26">
        <f t="shared" si="12"/>
        <v>178.79999999999998</v>
      </c>
      <c r="L356" s="171" t="s">
        <v>144</v>
      </c>
      <c r="V356" s="1"/>
    </row>
    <row r="357" spans="1:22" s="5" customFormat="1" ht="13.5">
      <c r="A357" s="172" t="s">
        <v>416</v>
      </c>
      <c r="B357" s="165" t="s">
        <v>239</v>
      </c>
      <c r="C357" s="165" t="s">
        <v>244</v>
      </c>
      <c r="D357" s="165" t="s">
        <v>382</v>
      </c>
      <c r="E357" s="173">
        <v>1.72</v>
      </c>
      <c r="F357" s="167">
        <f>624</f>
        <v>624</v>
      </c>
      <c r="G357" s="168">
        <f t="shared" si="11"/>
        <v>1073.28</v>
      </c>
      <c r="H357" s="26">
        <v>0.6</v>
      </c>
      <c r="I357" s="26"/>
      <c r="J357" s="26"/>
      <c r="K357" s="26">
        <f t="shared" si="12"/>
        <v>374.4</v>
      </c>
      <c r="L357" s="171" t="s">
        <v>144</v>
      </c>
      <c r="V357" s="1"/>
    </row>
    <row r="358" spans="1:22" s="5" customFormat="1" ht="13.5">
      <c r="A358" s="172" t="s">
        <v>417</v>
      </c>
      <c r="B358" s="165" t="s">
        <v>286</v>
      </c>
      <c r="C358" s="165" t="s">
        <v>418</v>
      </c>
      <c r="D358" s="165" t="s">
        <v>288</v>
      </c>
      <c r="E358" s="173">
        <v>6.88</v>
      </c>
      <c r="F358" s="167">
        <f>9</f>
        <v>9</v>
      </c>
      <c r="G358" s="168">
        <f t="shared" si="11"/>
        <v>61.92</v>
      </c>
      <c r="H358" s="26">
        <v>2.2</v>
      </c>
      <c r="I358" s="26"/>
      <c r="J358" s="26"/>
      <c r="K358" s="26">
        <f t="shared" si="12"/>
        <v>19.8</v>
      </c>
      <c r="L358" s="171" t="s">
        <v>144</v>
      </c>
      <c r="V358" s="1"/>
    </row>
    <row r="359" spans="1:22" s="5" customFormat="1" ht="13.5">
      <c r="A359" s="172" t="s">
        <v>419</v>
      </c>
      <c r="B359" s="165" t="s">
        <v>286</v>
      </c>
      <c r="C359" s="165" t="s">
        <v>418</v>
      </c>
      <c r="D359" s="165" t="s">
        <v>288</v>
      </c>
      <c r="E359" s="173">
        <v>6.88</v>
      </c>
      <c r="F359" s="167">
        <f>20</f>
        <v>20</v>
      </c>
      <c r="G359" s="168">
        <f t="shared" si="11"/>
        <v>137.6</v>
      </c>
      <c r="H359" s="26">
        <v>2.2</v>
      </c>
      <c r="I359" s="26"/>
      <c r="J359" s="26"/>
      <c r="K359" s="26">
        <f t="shared" si="12"/>
        <v>44</v>
      </c>
      <c r="L359" s="171" t="s">
        <v>144</v>
      </c>
      <c r="V359" s="1"/>
    </row>
    <row r="360" spans="1:22" s="5" customFormat="1" ht="13.5">
      <c r="A360" s="172" t="s">
        <v>420</v>
      </c>
      <c r="B360" s="165" t="s">
        <v>286</v>
      </c>
      <c r="C360" s="165" t="s">
        <v>418</v>
      </c>
      <c r="D360" s="165" t="s">
        <v>288</v>
      </c>
      <c r="E360" s="173">
        <v>6.88</v>
      </c>
      <c r="F360" s="167">
        <f>3+20</f>
        <v>23</v>
      </c>
      <c r="G360" s="168">
        <f t="shared" si="11"/>
        <v>158.24</v>
      </c>
      <c r="H360" s="26">
        <v>2.2</v>
      </c>
      <c r="I360" s="26"/>
      <c r="J360" s="26"/>
      <c r="K360" s="26">
        <f t="shared" si="12"/>
        <v>50.6</v>
      </c>
      <c r="L360" s="171" t="s">
        <v>144</v>
      </c>
      <c r="V360" s="1"/>
    </row>
    <row r="361" spans="1:22" s="5" customFormat="1" ht="13.5">
      <c r="A361" s="172" t="s">
        <v>421</v>
      </c>
      <c r="B361" s="165" t="s">
        <v>286</v>
      </c>
      <c r="C361" s="165" t="s">
        <v>418</v>
      </c>
      <c r="D361" s="165" t="s">
        <v>288</v>
      </c>
      <c r="E361" s="173">
        <v>2.29</v>
      </c>
      <c r="F361" s="167">
        <f>14</f>
        <v>14</v>
      </c>
      <c r="G361" s="168">
        <f t="shared" si="11"/>
        <v>32.06</v>
      </c>
      <c r="H361" s="26">
        <v>0.817857142857143</v>
      </c>
      <c r="I361" s="26"/>
      <c r="J361" s="26"/>
      <c r="K361" s="26">
        <f t="shared" si="12"/>
        <v>11.450000000000001</v>
      </c>
      <c r="L361" s="171" t="s">
        <v>144</v>
      </c>
      <c r="V361" s="1"/>
    </row>
    <row r="362" spans="1:22" s="5" customFormat="1" ht="13.5">
      <c r="A362" s="172" t="s">
        <v>422</v>
      </c>
      <c r="B362" s="165" t="s">
        <v>286</v>
      </c>
      <c r="C362" s="165" t="s">
        <v>418</v>
      </c>
      <c r="D362" s="165" t="s">
        <v>288</v>
      </c>
      <c r="E362" s="173">
        <v>2.29</v>
      </c>
      <c r="F362" s="167">
        <f>20</f>
        <v>20</v>
      </c>
      <c r="G362" s="168">
        <f t="shared" si="11"/>
        <v>45.8</v>
      </c>
      <c r="H362" s="26">
        <v>0.817857142857143</v>
      </c>
      <c r="I362" s="26"/>
      <c r="J362" s="26"/>
      <c r="K362" s="26">
        <f t="shared" si="12"/>
        <v>16.357142857142858</v>
      </c>
      <c r="L362" s="171" t="s">
        <v>144</v>
      </c>
      <c r="V362" s="1"/>
    </row>
    <row r="363" spans="1:22" s="5" customFormat="1" ht="13.5">
      <c r="A363" s="172" t="s">
        <v>422</v>
      </c>
      <c r="B363" s="165" t="s">
        <v>286</v>
      </c>
      <c r="C363" s="165" t="s">
        <v>418</v>
      </c>
      <c r="D363" s="165" t="s">
        <v>289</v>
      </c>
      <c r="E363" s="173">
        <v>2.29</v>
      </c>
      <c r="F363" s="167">
        <f>17</f>
        <v>17</v>
      </c>
      <c r="G363" s="168">
        <f t="shared" si="11"/>
        <v>38.93</v>
      </c>
      <c r="H363" s="26">
        <v>0.817857142857143</v>
      </c>
      <c r="I363" s="26"/>
      <c r="J363" s="26"/>
      <c r="K363" s="26">
        <f t="shared" si="12"/>
        <v>13.90357142857143</v>
      </c>
      <c r="L363" s="171" t="s">
        <v>144</v>
      </c>
      <c r="V363" s="1"/>
    </row>
    <row r="364" spans="1:22" s="5" customFormat="1" ht="13.5">
      <c r="A364" s="172" t="s">
        <v>423</v>
      </c>
      <c r="B364" s="165" t="s">
        <v>286</v>
      </c>
      <c r="C364" s="165" t="s">
        <v>418</v>
      </c>
      <c r="D364" s="165" t="s">
        <v>288</v>
      </c>
      <c r="E364" s="173">
        <v>2.29</v>
      </c>
      <c r="F364" s="167">
        <f>14</f>
        <v>14</v>
      </c>
      <c r="G364" s="168">
        <f t="shared" si="11"/>
        <v>32.06</v>
      </c>
      <c r="H364" s="26">
        <v>0.817857142857143</v>
      </c>
      <c r="I364" s="26"/>
      <c r="J364" s="26"/>
      <c r="K364" s="26">
        <f t="shared" si="12"/>
        <v>11.450000000000001</v>
      </c>
      <c r="L364" s="171" t="s">
        <v>144</v>
      </c>
      <c r="V364" s="1"/>
    </row>
    <row r="365" spans="1:22" s="5" customFormat="1" ht="13.5">
      <c r="A365" s="172" t="s">
        <v>423</v>
      </c>
      <c r="B365" s="165" t="s">
        <v>286</v>
      </c>
      <c r="C365" s="165" t="s">
        <v>418</v>
      </c>
      <c r="D365" s="165" t="s">
        <v>289</v>
      </c>
      <c r="E365" s="173">
        <v>2.29</v>
      </c>
      <c r="F365" s="167">
        <f>19</f>
        <v>19</v>
      </c>
      <c r="G365" s="168">
        <f t="shared" si="11"/>
        <v>43.51</v>
      </c>
      <c r="H365" s="26">
        <v>0.817857142857143</v>
      </c>
      <c r="I365" s="26"/>
      <c r="J365" s="26"/>
      <c r="K365" s="26">
        <f t="shared" si="12"/>
        <v>15.539285714285716</v>
      </c>
      <c r="L365" s="171" t="s">
        <v>144</v>
      </c>
      <c r="V365" s="1"/>
    </row>
    <row r="366" spans="1:22" s="5" customFormat="1" ht="13.5">
      <c r="A366" s="172" t="s">
        <v>424</v>
      </c>
      <c r="B366" s="165" t="s">
        <v>286</v>
      </c>
      <c r="C366" s="165" t="s">
        <v>418</v>
      </c>
      <c r="D366" s="165" t="s">
        <v>288</v>
      </c>
      <c r="E366" s="173">
        <v>2.29</v>
      </c>
      <c r="F366" s="167">
        <f aca="true" t="shared" si="18" ref="F366:F367">14</f>
        <v>14</v>
      </c>
      <c r="G366" s="168">
        <f t="shared" si="11"/>
        <v>32.06</v>
      </c>
      <c r="H366" s="26">
        <v>0.817857142857143</v>
      </c>
      <c r="I366" s="26"/>
      <c r="J366" s="26"/>
      <c r="K366" s="26">
        <f t="shared" si="12"/>
        <v>11.450000000000001</v>
      </c>
      <c r="L366" s="171" t="s">
        <v>144</v>
      </c>
      <c r="V366" s="1"/>
    </row>
    <row r="367" spans="1:22" s="5" customFormat="1" ht="13.5">
      <c r="A367" s="172" t="s">
        <v>424</v>
      </c>
      <c r="B367" s="165" t="s">
        <v>286</v>
      </c>
      <c r="C367" s="165" t="s">
        <v>418</v>
      </c>
      <c r="D367" s="165" t="s">
        <v>289</v>
      </c>
      <c r="E367" s="173">
        <v>2.29</v>
      </c>
      <c r="F367" s="167">
        <f t="shared" si="18"/>
        <v>14</v>
      </c>
      <c r="G367" s="168">
        <f t="shared" si="11"/>
        <v>32.06</v>
      </c>
      <c r="H367" s="26">
        <v>0.817857142857143</v>
      </c>
      <c r="I367" s="26"/>
      <c r="J367" s="26"/>
      <c r="K367" s="26">
        <f t="shared" si="12"/>
        <v>11.450000000000001</v>
      </c>
      <c r="L367" s="171" t="s">
        <v>144</v>
      </c>
      <c r="V367" s="1"/>
    </row>
    <row r="368" spans="1:22" s="5" customFormat="1" ht="13.5">
      <c r="A368" s="172" t="s">
        <v>425</v>
      </c>
      <c r="B368" s="165" t="s">
        <v>286</v>
      </c>
      <c r="C368" s="165" t="s">
        <v>418</v>
      </c>
      <c r="D368" s="165" t="s">
        <v>288</v>
      </c>
      <c r="E368" s="173">
        <v>2.29</v>
      </c>
      <c r="F368" s="167">
        <f>10</f>
        <v>10</v>
      </c>
      <c r="G368" s="168">
        <f t="shared" si="11"/>
        <v>22.9</v>
      </c>
      <c r="H368" s="26">
        <v>0.817857142857143</v>
      </c>
      <c r="I368" s="26"/>
      <c r="J368" s="26"/>
      <c r="K368" s="26">
        <f t="shared" si="12"/>
        <v>8.178571428571429</v>
      </c>
      <c r="L368" s="171" t="s">
        <v>144</v>
      </c>
      <c r="V368" s="1"/>
    </row>
    <row r="369" spans="1:22" s="5" customFormat="1" ht="13.5">
      <c r="A369" s="172" t="s">
        <v>425</v>
      </c>
      <c r="B369" s="165" t="s">
        <v>286</v>
      </c>
      <c r="C369" s="165" t="s">
        <v>418</v>
      </c>
      <c r="D369" s="165" t="s">
        <v>289</v>
      </c>
      <c r="E369" s="173">
        <v>2.29</v>
      </c>
      <c r="F369" s="167">
        <f>15</f>
        <v>15</v>
      </c>
      <c r="G369" s="168">
        <f t="shared" si="11"/>
        <v>34.35</v>
      </c>
      <c r="H369" s="26">
        <v>0.817857142857143</v>
      </c>
      <c r="I369" s="26"/>
      <c r="J369" s="26"/>
      <c r="K369" s="26">
        <f t="shared" si="12"/>
        <v>12.267857142857144</v>
      </c>
      <c r="L369" s="171" t="s">
        <v>144</v>
      </c>
      <c r="V369" s="1"/>
    </row>
    <row r="370" spans="1:22" s="5" customFormat="1" ht="13.5">
      <c r="A370" s="172" t="s">
        <v>426</v>
      </c>
      <c r="B370" s="165" t="s">
        <v>286</v>
      </c>
      <c r="C370" s="165" t="s">
        <v>379</v>
      </c>
      <c r="D370" s="165" t="s">
        <v>288</v>
      </c>
      <c r="E370" s="173">
        <v>19.14</v>
      </c>
      <c r="F370" s="167">
        <f>2</f>
        <v>2</v>
      </c>
      <c r="G370" s="168">
        <f t="shared" si="11"/>
        <v>38.28</v>
      </c>
      <c r="H370" s="26">
        <v>4.5</v>
      </c>
      <c r="I370" s="26"/>
      <c r="J370" s="26"/>
      <c r="K370" s="26">
        <f t="shared" si="12"/>
        <v>9</v>
      </c>
      <c r="L370" s="171" t="s">
        <v>144</v>
      </c>
      <c r="V370" s="1"/>
    </row>
    <row r="371" spans="1:22" s="5" customFormat="1" ht="13.5">
      <c r="A371" s="172" t="s">
        <v>427</v>
      </c>
      <c r="B371" s="165" t="s">
        <v>286</v>
      </c>
      <c r="C371" s="165" t="s">
        <v>379</v>
      </c>
      <c r="D371" s="165" t="s">
        <v>288</v>
      </c>
      <c r="E371" s="173">
        <v>47.36</v>
      </c>
      <c r="F371" s="167">
        <f aca="true" t="shared" si="19" ref="F371:F372">1</f>
        <v>1</v>
      </c>
      <c r="G371" s="168">
        <f t="shared" si="11"/>
        <v>47.36</v>
      </c>
      <c r="H371" s="26">
        <v>12.1</v>
      </c>
      <c r="I371" s="26"/>
      <c r="J371" s="26"/>
      <c r="K371" s="26">
        <f t="shared" si="12"/>
        <v>12.1</v>
      </c>
      <c r="L371" s="171" t="s">
        <v>144</v>
      </c>
      <c r="V371" s="1"/>
    </row>
    <row r="372" spans="1:22" s="5" customFormat="1" ht="13.5">
      <c r="A372" s="172" t="s">
        <v>427</v>
      </c>
      <c r="B372" s="165" t="s">
        <v>286</v>
      </c>
      <c r="C372" s="165" t="s">
        <v>379</v>
      </c>
      <c r="D372" s="165" t="s">
        <v>289</v>
      </c>
      <c r="E372" s="173">
        <v>47.36</v>
      </c>
      <c r="F372" s="167">
        <f t="shared" si="19"/>
        <v>1</v>
      </c>
      <c r="G372" s="168">
        <f t="shared" si="11"/>
        <v>47.36</v>
      </c>
      <c r="H372" s="26">
        <v>12.1</v>
      </c>
      <c r="I372" s="26"/>
      <c r="J372" s="26"/>
      <c r="K372" s="26">
        <f t="shared" si="12"/>
        <v>12.1</v>
      </c>
      <c r="L372" s="171" t="s">
        <v>144</v>
      </c>
      <c r="V372" s="1"/>
    </row>
    <row r="373" spans="1:22" s="5" customFormat="1" ht="13.5">
      <c r="A373" s="172" t="s">
        <v>428</v>
      </c>
      <c r="B373" s="165" t="s">
        <v>286</v>
      </c>
      <c r="C373" s="165" t="s">
        <v>379</v>
      </c>
      <c r="D373" s="165" t="s">
        <v>407</v>
      </c>
      <c r="E373" s="173">
        <v>43.06</v>
      </c>
      <c r="F373" s="167">
        <f>2</f>
        <v>2</v>
      </c>
      <c r="G373" s="168">
        <f t="shared" si="11"/>
        <v>86.12</v>
      </c>
      <c r="H373" s="26">
        <v>11.5</v>
      </c>
      <c r="I373" s="26"/>
      <c r="J373" s="26"/>
      <c r="K373" s="26">
        <f t="shared" si="12"/>
        <v>23</v>
      </c>
      <c r="L373" s="171" t="s">
        <v>144</v>
      </c>
      <c r="V373" s="1"/>
    </row>
    <row r="374" spans="1:22" s="5" customFormat="1" ht="17.25" customHeight="1">
      <c r="A374" s="172" t="s">
        <v>429</v>
      </c>
      <c r="B374" s="167" t="s">
        <v>239</v>
      </c>
      <c r="C374" s="165" t="s">
        <v>298</v>
      </c>
      <c r="D374" s="165" t="s">
        <v>430</v>
      </c>
      <c r="E374" s="173">
        <v>20.5</v>
      </c>
      <c r="F374" s="167">
        <v>4</v>
      </c>
      <c r="G374" s="168">
        <f t="shared" si="11"/>
        <v>82</v>
      </c>
      <c r="H374" s="26">
        <v>6.9</v>
      </c>
      <c r="I374" s="26"/>
      <c r="J374" s="26"/>
      <c r="K374" s="26">
        <f t="shared" si="12"/>
        <v>27.6</v>
      </c>
      <c r="L374" s="171" t="s">
        <v>144</v>
      </c>
      <c r="V374" s="1"/>
    </row>
    <row r="375" spans="1:22" s="5" customFormat="1" ht="18.75" customHeight="1">
      <c r="A375" s="172" t="s">
        <v>431</v>
      </c>
      <c r="B375" s="167" t="s">
        <v>239</v>
      </c>
      <c r="C375" s="165" t="s">
        <v>298</v>
      </c>
      <c r="D375" s="165" t="s">
        <v>430</v>
      </c>
      <c r="E375" s="173">
        <v>20.5</v>
      </c>
      <c r="F375" s="167">
        <v>2</v>
      </c>
      <c r="G375" s="168">
        <f t="shared" si="11"/>
        <v>41</v>
      </c>
      <c r="H375" s="26">
        <v>6.9</v>
      </c>
      <c r="I375" s="26"/>
      <c r="J375" s="26"/>
      <c r="K375" s="26">
        <f t="shared" si="12"/>
        <v>13.8</v>
      </c>
      <c r="L375" s="171" t="s">
        <v>144</v>
      </c>
      <c r="V375" s="1"/>
    </row>
    <row r="376" spans="1:22" s="5" customFormat="1" ht="15.75" customHeight="1">
      <c r="A376" s="172" t="s">
        <v>432</v>
      </c>
      <c r="B376" s="167" t="s">
        <v>239</v>
      </c>
      <c r="C376" s="165" t="s">
        <v>298</v>
      </c>
      <c r="D376" s="165" t="s">
        <v>430</v>
      </c>
      <c r="E376" s="173">
        <v>17.5</v>
      </c>
      <c r="F376" s="167">
        <v>3</v>
      </c>
      <c r="G376" s="168">
        <f t="shared" si="11"/>
        <v>52.5</v>
      </c>
      <c r="H376" s="26">
        <v>5.5</v>
      </c>
      <c r="I376" s="26"/>
      <c r="J376" s="26"/>
      <c r="K376" s="26">
        <f t="shared" si="12"/>
        <v>16.5</v>
      </c>
      <c r="L376" s="171" t="s">
        <v>144</v>
      </c>
      <c r="V376" s="1"/>
    </row>
    <row r="377" spans="1:22" s="5" customFormat="1" ht="16.5" customHeight="1">
      <c r="A377" s="172" t="s">
        <v>433</v>
      </c>
      <c r="B377" s="167" t="s">
        <v>239</v>
      </c>
      <c r="C377" s="165" t="s">
        <v>298</v>
      </c>
      <c r="D377" s="165" t="s">
        <v>430</v>
      </c>
      <c r="E377" s="173">
        <v>17.5</v>
      </c>
      <c r="F377" s="167">
        <v>2</v>
      </c>
      <c r="G377" s="168">
        <f t="shared" si="11"/>
        <v>35</v>
      </c>
      <c r="H377" s="26">
        <v>5.5</v>
      </c>
      <c r="I377" s="26"/>
      <c r="J377" s="26"/>
      <c r="K377" s="26">
        <f t="shared" si="12"/>
        <v>11</v>
      </c>
      <c r="L377" s="171" t="s">
        <v>144</v>
      </c>
      <c r="V377" s="1"/>
    </row>
    <row r="378" spans="1:22" s="5" customFormat="1" ht="18.75" customHeight="1">
      <c r="A378" s="172" t="s">
        <v>434</v>
      </c>
      <c r="B378" s="167" t="s">
        <v>239</v>
      </c>
      <c r="C378" s="165" t="s">
        <v>298</v>
      </c>
      <c r="D378" s="165" t="s">
        <v>430</v>
      </c>
      <c r="E378" s="173">
        <v>17.5</v>
      </c>
      <c r="F378" s="167">
        <v>7</v>
      </c>
      <c r="G378" s="168">
        <f t="shared" si="11"/>
        <v>122.5</v>
      </c>
      <c r="H378" s="26">
        <v>5.5</v>
      </c>
      <c r="I378" s="26"/>
      <c r="J378" s="26"/>
      <c r="K378" s="26">
        <f t="shared" si="12"/>
        <v>38.5</v>
      </c>
      <c r="L378" s="171" t="s">
        <v>144</v>
      </c>
      <c r="V378" s="1"/>
    </row>
    <row r="379" spans="1:22" s="5" customFormat="1" ht="18.75" customHeight="1">
      <c r="A379" s="172" t="s">
        <v>435</v>
      </c>
      <c r="B379" s="167" t="s">
        <v>239</v>
      </c>
      <c r="C379" s="165" t="s">
        <v>298</v>
      </c>
      <c r="D379" s="165" t="s">
        <v>430</v>
      </c>
      <c r="E379" s="173">
        <v>16.5</v>
      </c>
      <c r="F379" s="167">
        <v>2</v>
      </c>
      <c r="G379" s="168">
        <f t="shared" si="11"/>
        <v>33</v>
      </c>
      <c r="H379" s="26">
        <v>4.5</v>
      </c>
      <c r="I379" s="26"/>
      <c r="J379" s="26"/>
      <c r="K379" s="26">
        <f t="shared" si="12"/>
        <v>9</v>
      </c>
      <c r="L379" s="171" t="s">
        <v>144</v>
      </c>
      <c r="V379" s="1"/>
    </row>
    <row r="380" spans="1:22" s="5" customFormat="1" ht="16.5" customHeight="1">
      <c r="A380" s="172" t="s">
        <v>436</v>
      </c>
      <c r="B380" s="167" t="s">
        <v>239</v>
      </c>
      <c r="C380" s="165" t="s">
        <v>298</v>
      </c>
      <c r="D380" s="165" t="s">
        <v>430</v>
      </c>
      <c r="E380" s="173">
        <v>16.5</v>
      </c>
      <c r="F380" s="167">
        <v>1</v>
      </c>
      <c r="G380" s="168">
        <f t="shared" si="11"/>
        <v>16.5</v>
      </c>
      <c r="H380" s="26">
        <v>4.5</v>
      </c>
      <c r="I380" s="26"/>
      <c r="J380" s="26"/>
      <c r="K380" s="26">
        <f t="shared" si="12"/>
        <v>4.5</v>
      </c>
      <c r="L380" s="171" t="s">
        <v>144</v>
      </c>
      <c r="V380" s="1"/>
    </row>
    <row r="381" spans="1:22" s="5" customFormat="1" ht="25.5">
      <c r="A381" s="172" t="s">
        <v>437</v>
      </c>
      <c r="B381" s="165" t="s">
        <v>239</v>
      </c>
      <c r="C381" s="165" t="s">
        <v>298</v>
      </c>
      <c r="D381" s="165" t="s">
        <v>315</v>
      </c>
      <c r="E381" s="173">
        <v>3.5</v>
      </c>
      <c r="F381" s="167">
        <v>8</v>
      </c>
      <c r="G381" s="168">
        <f t="shared" si="11"/>
        <v>28</v>
      </c>
      <c r="H381" s="26">
        <v>1.1</v>
      </c>
      <c r="I381" s="26"/>
      <c r="J381" s="26"/>
      <c r="K381" s="26">
        <f t="shared" si="12"/>
        <v>8.8</v>
      </c>
      <c r="L381" s="171" t="s">
        <v>144</v>
      </c>
      <c r="V381" s="1"/>
    </row>
    <row r="382" spans="1:22" s="5" customFormat="1" ht="13.5" customHeight="1">
      <c r="A382" s="172" t="s">
        <v>438</v>
      </c>
      <c r="B382" s="167" t="s">
        <v>239</v>
      </c>
      <c r="C382" s="165" t="s">
        <v>298</v>
      </c>
      <c r="D382" s="167" t="s">
        <v>439</v>
      </c>
      <c r="E382" s="173">
        <v>36</v>
      </c>
      <c r="F382" s="167">
        <v>1</v>
      </c>
      <c r="G382" s="168">
        <f t="shared" si="11"/>
        <v>36</v>
      </c>
      <c r="H382" s="26">
        <v>8.9</v>
      </c>
      <c r="I382" s="26"/>
      <c r="J382" s="26"/>
      <c r="K382" s="26">
        <f t="shared" si="12"/>
        <v>8.9</v>
      </c>
      <c r="L382" s="171" t="s">
        <v>144</v>
      </c>
      <c r="V382" s="1"/>
    </row>
    <row r="383" spans="1:22" s="5" customFormat="1" ht="21.75" customHeight="1">
      <c r="A383" s="172" t="s">
        <v>440</v>
      </c>
      <c r="B383" s="167" t="s">
        <v>239</v>
      </c>
      <c r="C383" s="165" t="s">
        <v>298</v>
      </c>
      <c r="D383" s="167" t="s">
        <v>439</v>
      </c>
      <c r="E383" s="173">
        <v>26.5</v>
      </c>
      <c r="F383" s="167">
        <v>3</v>
      </c>
      <c r="G383" s="168">
        <f t="shared" si="11"/>
        <v>79.5</v>
      </c>
      <c r="H383" s="26">
        <v>5.1</v>
      </c>
      <c r="I383" s="26"/>
      <c r="J383" s="26"/>
      <c r="K383" s="26">
        <f t="shared" si="12"/>
        <v>15.299999999999999</v>
      </c>
      <c r="L383" s="171" t="s">
        <v>144</v>
      </c>
      <c r="V383" s="1"/>
    </row>
    <row r="384" spans="1:22" s="5" customFormat="1" ht="19.5" customHeight="1">
      <c r="A384" s="172" t="s">
        <v>441</v>
      </c>
      <c r="B384" s="167" t="s">
        <v>239</v>
      </c>
      <c r="C384" s="165" t="s">
        <v>298</v>
      </c>
      <c r="D384" s="165" t="s">
        <v>430</v>
      </c>
      <c r="E384" s="173">
        <v>17.5</v>
      </c>
      <c r="F384" s="167">
        <v>1</v>
      </c>
      <c r="G384" s="168">
        <f t="shared" si="11"/>
        <v>17.5</v>
      </c>
      <c r="H384" s="26">
        <v>5.5</v>
      </c>
      <c r="I384" s="26"/>
      <c r="J384" s="26"/>
      <c r="K384" s="26">
        <f t="shared" si="12"/>
        <v>5.5</v>
      </c>
      <c r="L384" s="171" t="s">
        <v>144</v>
      </c>
      <c r="V384" s="1"/>
    </row>
    <row r="385" spans="1:22" s="5" customFormat="1" ht="13.5">
      <c r="A385" s="172" t="s">
        <v>442</v>
      </c>
      <c r="B385" s="165" t="s">
        <v>239</v>
      </c>
      <c r="C385" s="165" t="s">
        <v>298</v>
      </c>
      <c r="D385" s="165" t="s">
        <v>443</v>
      </c>
      <c r="E385" s="173">
        <v>9.2</v>
      </c>
      <c r="F385" s="167">
        <v>1</v>
      </c>
      <c r="G385" s="168">
        <f t="shared" si="11"/>
        <v>9.2</v>
      </c>
      <c r="H385" s="26">
        <v>2.8</v>
      </c>
      <c r="I385" s="26"/>
      <c r="J385" s="26"/>
      <c r="K385" s="26">
        <f t="shared" si="12"/>
        <v>2.8</v>
      </c>
      <c r="L385" s="171" t="s">
        <v>144</v>
      </c>
      <c r="V385" s="1"/>
    </row>
    <row r="386" spans="1:22" s="5" customFormat="1" ht="13.5">
      <c r="A386" s="172" t="s">
        <v>444</v>
      </c>
      <c r="B386" s="165" t="s">
        <v>239</v>
      </c>
      <c r="C386" s="165" t="s">
        <v>298</v>
      </c>
      <c r="D386" s="165" t="s">
        <v>443</v>
      </c>
      <c r="E386" s="173">
        <v>9.2</v>
      </c>
      <c r="F386" s="167">
        <v>1</v>
      </c>
      <c r="G386" s="168">
        <f t="shared" si="11"/>
        <v>9.2</v>
      </c>
      <c r="H386" s="26">
        <v>2.8</v>
      </c>
      <c r="I386" s="26"/>
      <c r="J386" s="26"/>
      <c r="K386" s="26">
        <f t="shared" si="12"/>
        <v>2.8</v>
      </c>
      <c r="L386" s="171" t="s">
        <v>144</v>
      </c>
      <c r="V386" s="1"/>
    </row>
    <row r="387" spans="1:22" s="5" customFormat="1" ht="13.5">
      <c r="A387" s="172" t="s">
        <v>445</v>
      </c>
      <c r="B387" s="165" t="s">
        <v>239</v>
      </c>
      <c r="C387" s="165" t="s">
        <v>298</v>
      </c>
      <c r="D387" s="165" t="s">
        <v>443</v>
      </c>
      <c r="E387" s="173">
        <v>9.2</v>
      </c>
      <c r="F387" s="167">
        <v>1</v>
      </c>
      <c r="G387" s="168">
        <f t="shared" si="11"/>
        <v>9.2</v>
      </c>
      <c r="H387" s="26">
        <v>2.8</v>
      </c>
      <c r="I387" s="26"/>
      <c r="J387" s="26"/>
      <c r="K387" s="26">
        <f t="shared" si="12"/>
        <v>2.8</v>
      </c>
      <c r="L387" s="171" t="s">
        <v>144</v>
      </c>
      <c r="V387" s="1"/>
    </row>
    <row r="388" spans="1:22" s="5" customFormat="1" ht="13.5">
      <c r="A388" s="172" t="s">
        <v>446</v>
      </c>
      <c r="B388" s="165" t="s">
        <v>239</v>
      </c>
      <c r="C388" s="165" t="s">
        <v>146</v>
      </c>
      <c r="D388" s="165" t="s">
        <v>447</v>
      </c>
      <c r="E388" s="173">
        <v>180</v>
      </c>
      <c r="F388" s="167">
        <v>1</v>
      </c>
      <c r="G388" s="168">
        <f t="shared" si="11"/>
        <v>180</v>
      </c>
      <c r="H388" s="26">
        <v>46</v>
      </c>
      <c r="I388" s="26"/>
      <c r="J388" s="26"/>
      <c r="K388" s="26">
        <f t="shared" si="12"/>
        <v>46</v>
      </c>
      <c r="L388" s="171" t="s">
        <v>144</v>
      </c>
      <c r="V388" s="1"/>
    </row>
    <row r="389" spans="1:22" s="5" customFormat="1" ht="25.5">
      <c r="A389" s="172" t="s">
        <v>448</v>
      </c>
      <c r="B389" s="165" t="s">
        <v>239</v>
      </c>
      <c r="C389" s="165" t="s">
        <v>298</v>
      </c>
      <c r="D389" s="165" t="s">
        <v>315</v>
      </c>
      <c r="E389" s="173">
        <v>18</v>
      </c>
      <c r="F389" s="167">
        <f>1</f>
        <v>1</v>
      </c>
      <c r="G389" s="168">
        <f t="shared" si="11"/>
        <v>18</v>
      </c>
      <c r="H389" s="26">
        <v>5.6</v>
      </c>
      <c r="I389" s="26"/>
      <c r="J389" s="26"/>
      <c r="K389" s="26">
        <f t="shared" si="12"/>
        <v>5.6</v>
      </c>
      <c r="L389" s="171" t="s">
        <v>144</v>
      </c>
      <c r="V389" s="1"/>
    </row>
    <row r="390" spans="1:22" s="5" customFormat="1" ht="25.5">
      <c r="A390" s="172" t="s">
        <v>449</v>
      </c>
      <c r="B390" s="165" t="s">
        <v>239</v>
      </c>
      <c r="C390" s="165" t="s">
        <v>298</v>
      </c>
      <c r="D390" s="165" t="s">
        <v>315</v>
      </c>
      <c r="E390" s="173">
        <v>18</v>
      </c>
      <c r="F390" s="167">
        <f>5</f>
        <v>5</v>
      </c>
      <c r="G390" s="168">
        <f t="shared" si="11"/>
        <v>90</v>
      </c>
      <c r="H390" s="26">
        <v>5.6</v>
      </c>
      <c r="I390" s="26"/>
      <c r="J390" s="26"/>
      <c r="K390" s="26">
        <f t="shared" si="12"/>
        <v>28</v>
      </c>
      <c r="L390" s="171" t="s">
        <v>144</v>
      </c>
      <c r="V390" s="1"/>
    </row>
    <row r="391" spans="1:22" s="5" customFormat="1" ht="25.5">
      <c r="A391" s="172" t="s">
        <v>450</v>
      </c>
      <c r="B391" s="165" t="s">
        <v>239</v>
      </c>
      <c r="C391" s="165" t="s">
        <v>298</v>
      </c>
      <c r="D391" s="165" t="s">
        <v>315</v>
      </c>
      <c r="E391" s="166">
        <v>18</v>
      </c>
      <c r="F391" s="167">
        <f>1</f>
        <v>1</v>
      </c>
      <c r="G391" s="168">
        <f t="shared" si="11"/>
        <v>18</v>
      </c>
      <c r="H391" s="26">
        <v>5.6</v>
      </c>
      <c r="I391" s="26"/>
      <c r="J391" s="26"/>
      <c r="K391" s="26">
        <f t="shared" si="12"/>
        <v>5.6</v>
      </c>
      <c r="L391" s="171" t="s">
        <v>144</v>
      </c>
      <c r="V391" s="1"/>
    </row>
    <row r="392" spans="1:22" s="5" customFormat="1" ht="13.5">
      <c r="A392" s="172" t="s">
        <v>451</v>
      </c>
      <c r="B392" s="165" t="s">
        <v>239</v>
      </c>
      <c r="C392" s="165" t="s">
        <v>146</v>
      </c>
      <c r="D392" s="165" t="s">
        <v>447</v>
      </c>
      <c r="E392" s="173">
        <v>120</v>
      </c>
      <c r="F392" s="167">
        <v>1</v>
      </c>
      <c r="G392" s="168">
        <f t="shared" si="11"/>
        <v>120</v>
      </c>
      <c r="H392" s="26">
        <v>32</v>
      </c>
      <c r="I392" s="26"/>
      <c r="J392" s="26"/>
      <c r="K392" s="26">
        <f t="shared" si="12"/>
        <v>32</v>
      </c>
      <c r="L392" s="171" t="s">
        <v>144</v>
      </c>
      <c r="V392" s="1"/>
    </row>
    <row r="393" spans="1:22" s="5" customFormat="1" ht="13.5">
      <c r="A393" s="172" t="s">
        <v>452</v>
      </c>
      <c r="B393" s="165" t="s">
        <v>200</v>
      </c>
      <c r="C393" s="165" t="s">
        <v>453</v>
      </c>
      <c r="D393" s="165" t="s">
        <v>224</v>
      </c>
      <c r="E393" s="173">
        <v>7.8</v>
      </c>
      <c r="F393" s="167">
        <f>240+250+250+248</f>
        <v>988</v>
      </c>
      <c r="G393" s="168">
        <f t="shared" si="11"/>
        <v>7706.4</v>
      </c>
      <c r="H393" s="26">
        <v>2.6</v>
      </c>
      <c r="I393" s="26"/>
      <c r="J393" s="26"/>
      <c r="K393" s="26">
        <f t="shared" si="12"/>
        <v>2568.8</v>
      </c>
      <c r="L393" s="171" t="s">
        <v>144</v>
      </c>
      <c r="V393" s="1"/>
    </row>
    <row r="394" spans="1:22" s="5" customFormat="1" ht="13.5">
      <c r="A394" s="172" t="s">
        <v>454</v>
      </c>
      <c r="B394" s="165" t="s">
        <v>286</v>
      </c>
      <c r="C394" s="165" t="s">
        <v>379</v>
      </c>
      <c r="D394" s="167" t="s">
        <v>288</v>
      </c>
      <c r="E394" s="173">
        <v>30</v>
      </c>
      <c r="F394" s="167">
        <f>16+5+7+6+(3*10)+(2*16)+14*10+20+20+8+6+20+5</f>
        <v>315</v>
      </c>
      <c r="G394" s="168">
        <f t="shared" si="11"/>
        <v>9450</v>
      </c>
      <c r="H394" s="26">
        <v>9.5</v>
      </c>
      <c r="I394" s="26"/>
      <c r="J394" s="26"/>
      <c r="K394" s="26">
        <f t="shared" si="12"/>
        <v>2992.5</v>
      </c>
      <c r="L394" s="171"/>
      <c r="V394" s="1"/>
    </row>
    <row r="395" spans="1:22" s="5" customFormat="1" ht="13.5">
      <c r="A395" s="172" t="s">
        <v>455</v>
      </c>
      <c r="B395" s="165" t="s">
        <v>200</v>
      </c>
      <c r="C395" s="165" t="s">
        <v>456</v>
      </c>
      <c r="D395" s="167" t="s">
        <v>224</v>
      </c>
      <c r="E395" s="173">
        <v>34</v>
      </c>
      <c r="F395" s="167">
        <v>1</v>
      </c>
      <c r="G395" s="168">
        <f t="shared" si="11"/>
        <v>34</v>
      </c>
      <c r="H395" s="26">
        <v>11.1</v>
      </c>
      <c r="I395" s="26"/>
      <c r="J395" s="26"/>
      <c r="K395" s="26">
        <f t="shared" si="12"/>
        <v>11.1</v>
      </c>
      <c r="L395" s="171" t="s">
        <v>144</v>
      </c>
      <c r="V395" s="1"/>
    </row>
    <row r="396" spans="1:22" s="5" customFormat="1" ht="21" customHeight="1">
      <c r="A396" s="172" t="s">
        <v>392</v>
      </c>
      <c r="B396" s="165" t="s">
        <v>239</v>
      </c>
      <c r="C396" s="165" t="s">
        <v>298</v>
      </c>
      <c r="D396" s="165" t="s">
        <v>443</v>
      </c>
      <c r="E396" s="173">
        <v>1.6</v>
      </c>
      <c r="F396" s="167">
        <v>129</v>
      </c>
      <c r="G396" s="168">
        <f t="shared" si="11"/>
        <v>206.4</v>
      </c>
      <c r="H396" s="26">
        <v>0.5</v>
      </c>
      <c r="I396" s="26"/>
      <c r="J396" s="26"/>
      <c r="K396" s="26">
        <f t="shared" si="12"/>
        <v>64.5</v>
      </c>
      <c r="L396" s="171" t="s">
        <v>144</v>
      </c>
      <c r="V396" s="1"/>
    </row>
    <row r="397" spans="1:22" s="5" customFormat="1" ht="13.5">
      <c r="A397" s="172" t="s">
        <v>394</v>
      </c>
      <c r="B397" s="165" t="s">
        <v>239</v>
      </c>
      <c r="C397" s="165" t="s">
        <v>298</v>
      </c>
      <c r="D397" s="165" t="s">
        <v>443</v>
      </c>
      <c r="E397" s="173">
        <v>1.6</v>
      </c>
      <c r="F397" s="167">
        <f>144</f>
        <v>144</v>
      </c>
      <c r="G397" s="168">
        <f t="shared" si="11"/>
        <v>230.4</v>
      </c>
      <c r="H397" s="26">
        <v>0.5</v>
      </c>
      <c r="I397" s="26"/>
      <c r="J397" s="26"/>
      <c r="K397" s="26">
        <f t="shared" si="12"/>
        <v>72</v>
      </c>
      <c r="L397" s="171" t="s">
        <v>144</v>
      </c>
      <c r="V397" s="1"/>
    </row>
    <row r="398" spans="1:22" s="5" customFormat="1" ht="13.5">
      <c r="A398" s="172" t="s">
        <v>395</v>
      </c>
      <c r="B398" s="165" t="s">
        <v>239</v>
      </c>
      <c r="C398" s="165" t="s">
        <v>298</v>
      </c>
      <c r="D398" s="165" t="s">
        <v>443</v>
      </c>
      <c r="E398" s="173">
        <v>1.6</v>
      </c>
      <c r="F398" s="167">
        <f>136</f>
        <v>136</v>
      </c>
      <c r="G398" s="168">
        <f t="shared" si="11"/>
        <v>217.60000000000002</v>
      </c>
      <c r="H398" s="26">
        <v>0.5</v>
      </c>
      <c r="I398" s="26"/>
      <c r="J398" s="26"/>
      <c r="K398" s="26">
        <f t="shared" si="12"/>
        <v>68</v>
      </c>
      <c r="L398" s="171" t="s">
        <v>144</v>
      </c>
      <c r="V398" s="1"/>
    </row>
    <row r="399" spans="1:22" s="5" customFormat="1" ht="21.75" customHeight="1">
      <c r="A399" s="172" t="s">
        <v>396</v>
      </c>
      <c r="B399" s="165" t="s">
        <v>239</v>
      </c>
      <c r="C399" s="165" t="s">
        <v>298</v>
      </c>
      <c r="D399" s="165" t="s">
        <v>443</v>
      </c>
      <c r="E399" s="173">
        <v>1.6</v>
      </c>
      <c r="F399" s="167">
        <v>131</v>
      </c>
      <c r="G399" s="168">
        <f t="shared" si="11"/>
        <v>209.60000000000002</v>
      </c>
      <c r="H399" s="26">
        <v>0.5</v>
      </c>
      <c r="I399" s="26"/>
      <c r="J399" s="26"/>
      <c r="K399" s="26">
        <f t="shared" si="12"/>
        <v>65.5</v>
      </c>
      <c r="L399" s="171" t="s">
        <v>144</v>
      </c>
      <c r="V399" s="1"/>
    </row>
    <row r="400" spans="1:22" s="5" customFormat="1" ht="19.5" customHeight="1">
      <c r="A400" s="172" t="s">
        <v>397</v>
      </c>
      <c r="B400" s="165" t="s">
        <v>239</v>
      </c>
      <c r="C400" s="165" t="s">
        <v>298</v>
      </c>
      <c r="D400" s="165" t="s">
        <v>443</v>
      </c>
      <c r="E400" s="173">
        <v>1.6</v>
      </c>
      <c r="F400" s="167">
        <v>125</v>
      </c>
      <c r="G400" s="168">
        <f t="shared" si="11"/>
        <v>200</v>
      </c>
      <c r="H400" s="26">
        <v>0.5</v>
      </c>
      <c r="I400" s="26"/>
      <c r="J400" s="26"/>
      <c r="K400" s="26">
        <f t="shared" si="12"/>
        <v>62.5</v>
      </c>
      <c r="L400" s="171" t="s">
        <v>144</v>
      </c>
      <c r="V400" s="1"/>
    </row>
    <row r="401" spans="1:22" s="5" customFormat="1" ht="13.5">
      <c r="A401" s="172" t="s">
        <v>398</v>
      </c>
      <c r="B401" s="165" t="s">
        <v>239</v>
      </c>
      <c r="C401" s="165" t="s">
        <v>298</v>
      </c>
      <c r="D401" s="165" t="s">
        <v>443</v>
      </c>
      <c r="E401" s="173">
        <v>1.6</v>
      </c>
      <c r="F401" s="167">
        <f>145</f>
        <v>145</v>
      </c>
      <c r="G401" s="168">
        <f t="shared" si="11"/>
        <v>232</v>
      </c>
      <c r="H401" s="26">
        <v>0.5</v>
      </c>
      <c r="I401" s="26"/>
      <c r="J401" s="26"/>
      <c r="K401" s="26">
        <f t="shared" si="12"/>
        <v>72.5</v>
      </c>
      <c r="L401" s="171" t="s">
        <v>144</v>
      </c>
      <c r="V401" s="1"/>
    </row>
    <row r="402" spans="1:22" s="5" customFormat="1" ht="13.5">
      <c r="A402" s="172" t="s">
        <v>399</v>
      </c>
      <c r="B402" s="165" t="s">
        <v>239</v>
      </c>
      <c r="C402" s="165" t="s">
        <v>298</v>
      </c>
      <c r="D402" s="165" t="s">
        <v>443</v>
      </c>
      <c r="E402" s="173">
        <v>1.6</v>
      </c>
      <c r="F402" s="167">
        <f>131</f>
        <v>131</v>
      </c>
      <c r="G402" s="168">
        <f t="shared" si="11"/>
        <v>209.60000000000002</v>
      </c>
      <c r="H402" s="26">
        <v>0.5</v>
      </c>
      <c r="I402" s="26"/>
      <c r="J402" s="26"/>
      <c r="K402" s="26">
        <f t="shared" si="12"/>
        <v>65.5</v>
      </c>
      <c r="L402" s="171" t="s">
        <v>144</v>
      </c>
      <c r="V402" s="1"/>
    </row>
    <row r="403" spans="1:22" s="5" customFormat="1" ht="18" customHeight="1">
      <c r="A403" s="172" t="s">
        <v>400</v>
      </c>
      <c r="B403" s="165" t="s">
        <v>239</v>
      </c>
      <c r="C403" s="165" t="s">
        <v>298</v>
      </c>
      <c r="D403" s="165" t="s">
        <v>443</v>
      </c>
      <c r="E403" s="173">
        <v>1.6</v>
      </c>
      <c r="F403" s="167">
        <v>130</v>
      </c>
      <c r="G403" s="168">
        <f t="shared" si="11"/>
        <v>208</v>
      </c>
      <c r="H403" s="26">
        <v>0.5</v>
      </c>
      <c r="I403" s="26"/>
      <c r="J403" s="26"/>
      <c r="K403" s="26">
        <f t="shared" si="12"/>
        <v>65</v>
      </c>
      <c r="L403" s="171" t="s">
        <v>144</v>
      </c>
      <c r="V403" s="1"/>
    </row>
    <row r="404" spans="1:22" s="5" customFormat="1" ht="18.75" customHeight="1">
      <c r="A404" s="172" t="s">
        <v>401</v>
      </c>
      <c r="B404" s="165" t="s">
        <v>239</v>
      </c>
      <c r="C404" s="165" t="s">
        <v>298</v>
      </c>
      <c r="D404" s="165" t="s">
        <v>443</v>
      </c>
      <c r="E404" s="173">
        <v>1.6</v>
      </c>
      <c r="F404" s="167">
        <v>144</v>
      </c>
      <c r="G404" s="168">
        <f t="shared" si="11"/>
        <v>230.4</v>
      </c>
      <c r="H404" s="26">
        <v>0.5</v>
      </c>
      <c r="I404" s="26"/>
      <c r="J404" s="26"/>
      <c r="K404" s="26">
        <f t="shared" si="12"/>
        <v>72</v>
      </c>
      <c r="L404" s="171" t="s">
        <v>144</v>
      </c>
      <c r="V404" s="1"/>
    </row>
    <row r="405" spans="1:22" s="5" customFormat="1" ht="17.25" customHeight="1">
      <c r="A405" s="172" t="s">
        <v>402</v>
      </c>
      <c r="B405" s="165" t="s">
        <v>239</v>
      </c>
      <c r="C405" s="165" t="s">
        <v>298</v>
      </c>
      <c r="D405" s="165" t="s">
        <v>443</v>
      </c>
      <c r="E405" s="173">
        <v>1.6</v>
      </c>
      <c r="F405" s="167">
        <v>132</v>
      </c>
      <c r="G405" s="168">
        <f t="shared" si="11"/>
        <v>211.20000000000002</v>
      </c>
      <c r="H405" s="26">
        <v>0.5</v>
      </c>
      <c r="I405" s="26"/>
      <c r="J405" s="26"/>
      <c r="K405" s="26">
        <f t="shared" si="12"/>
        <v>66</v>
      </c>
      <c r="L405" s="171" t="s">
        <v>144</v>
      </c>
      <c r="V405" s="1"/>
    </row>
    <row r="406" spans="1:22" s="5" customFormat="1" ht="20.25" customHeight="1">
      <c r="A406" s="172" t="s">
        <v>403</v>
      </c>
      <c r="B406" s="165" t="s">
        <v>239</v>
      </c>
      <c r="C406" s="165" t="s">
        <v>298</v>
      </c>
      <c r="D406" s="165" t="s">
        <v>443</v>
      </c>
      <c r="E406" s="173">
        <v>1.6</v>
      </c>
      <c r="F406" s="167">
        <v>140</v>
      </c>
      <c r="G406" s="168">
        <f t="shared" si="11"/>
        <v>224</v>
      </c>
      <c r="H406" s="26">
        <v>0.5</v>
      </c>
      <c r="I406" s="26"/>
      <c r="J406" s="26"/>
      <c r="K406" s="26">
        <f t="shared" si="12"/>
        <v>70</v>
      </c>
      <c r="L406" s="171" t="s">
        <v>144</v>
      </c>
      <c r="V406" s="1"/>
    </row>
    <row r="407" spans="1:22" s="5" customFormat="1" ht="13.5">
      <c r="A407" s="172" t="s">
        <v>404</v>
      </c>
      <c r="B407" s="165" t="s">
        <v>239</v>
      </c>
      <c r="C407" s="165" t="s">
        <v>298</v>
      </c>
      <c r="D407" s="165" t="s">
        <v>443</v>
      </c>
      <c r="E407" s="173">
        <v>1.6</v>
      </c>
      <c r="F407" s="167">
        <f>136</f>
        <v>136</v>
      </c>
      <c r="G407" s="168">
        <f t="shared" si="11"/>
        <v>217.60000000000002</v>
      </c>
      <c r="H407" s="26">
        <v>0.5</v>
      </c>
      <c r="I407" s="26"/>
      <c r="J407" s="26"/>
      <c r="K407" s="26">
        <f t="shared" si="12"/>
        <v>68</v>
      </c>
      <c r="L407" s="171" t="s">
        <v>144</v>
      </c>
      <c r="V407" s="1"/>
    </row>
    <row r="408" spans="1:22" s="5" customFormat="1" ht="20.25" customHeight="1">
      <c r="A408" s="172" t="s">
        <v>405</v>
      </c>
      <c r="B408" s="165" t="s">
        <v>239</v>
      </c>
      <c r="C408" s="165" t="s">
        <v>298</v>
      </c>
      <c r="D408" s="165" t="s">
        <v>443</v>
      </c>
      <c r="E408" s="173">
        <v>1.6</v>
      </c>
      <c r="F408" s="167">
        <v>136</v>
      </c>
      <c r="G408" s="168">
        <f t="shared" si="11"/>
        <v>217.60000000000002</v>
      </c>
      <c r="H408" s="26">
        <v>0.5</v>
      </c>
      <c r="I408" s="26"/>
      <c r="J408" s="26"/>
      <c r="K408" s="26">
        <f t="shared" si="12"/>
        <v>68</v>
      </c>
      <c r="L408" s="171" t="s">
        <v>144</v>
      </c>
      <c r="V408" s="1"/>
    </row>
    <row r="409" spans="1:22" s="5" customFormat="1" ht="25.5">
      <c r="A409" s="172" t="s">
        <v>457</v>
      </c>
      <c r="B409" s="165" t="s">
        <v>286</v>
      </c>
      <c r="C409" s="167" t="s">
        <v>287</v>
      </c>
      <c r="D409" s="165" t="s">
        <v>288</v>
      </c>
      <c r="E409" s="173">
        <v>15.35</v>
      </c>
      <c r="F409" s="167">
        <f>31</f>
        <v>31</v>
      </c>
      <c r="G409" s="168">
        <f t="shared" si="11"/>
        <v>475.84999999999997</v>
      </c>
      <c r="H409" s="26">
        <v>4.5</v>
      </c>
      <c r="I409" s="26"/>
      <c r="J409" s="26"/>
      <c r="K409" s="26">
        <f t="shared" si="12"/>
        <v>139.5</v>
      </c>
      <c r="L409" s="171" t="s">
        <v>144</v>
      </c>
      <c r="V409" s="1"/>
    </row>
    <row r="410" spans="1:22" s="5" customFormat="1" ht="13.5">
      <c r="A410" s="172" t="s">
        <v>458</v>
      </c>
      <c r="B410" s="165" t="s">
        <v>286</v>
      </c>
      <c r="C410" s="165" t="s">
        <v>379</v>
      </c>
      <c r="D410" s="167" t="s">
        <v>459</v>
      </c>
      <c r="E410" s="173">
        <v>57.1</v>
      </c>
      <c r="F410" s="167">
        <f>1</f>
        <v>1</v>
      </c>
      <c r="G410" s="168">
        <f t="shared" si="11"/>
        <v>57.1</v>
      </c>
      <c r="H410" s="26">
        <v>14</v>
      </c>
      <c r="I410" s="26"/>
      <c r="J410" s="26"/>
      <c r="K410" s="26">
        <f t="shared" si="12"/>
        <v>14</v>
      </c>
      <c r="L410" s="171" t="s">
        <v>144</v>
      </c>
      <c r="V410" s="1"/>
    </row>
    <row r="411" spans="1:22" s="5" customFormat="1" ht="14.25">
      <c r="A411" s="186" t="s">
        <v>460</v>
      </c>
      <c r="B411" s="165"/>
      <c r="C411" s="165"/>
      <c r="D411" s="167"/>
      <c r="E411" s="167"/>
      <c r="F411" s="187" t="s">
        <v>52</v>
      </c>
      <c r="G411" s="188">
        <f>SUM(G116:G410)</f>
        <v>54884.17399999998</v>
      </c>
      <c r="H411" s="26"/>
      <c r="I411" s="66"/>
      <c r="J411" s="66"/>
      <c r="K411" s="189"/>
      <c r="L411" s="171" t="s">
        <v>144</v>
      </c>
      <c r="V411" s="1"/>
    </row>
    <row r="412" spans="2:22" s="5" customFormat="1" ht="15.75">
      <c r="B412" s="1"/>
      <c r="C412" s="190" t="s">
        <v>461</v>
      </c>
      <c r="D412" s="190"/>
      <c r="E412" s="190"/>
      <c r="F412" s="190"/>
      <c r="G412" s="190"/>
      <c r="H412" s="66"/>
      <c r="I412" s="66"/>
      <c r="J412" s="66"/>
      <c r="K412" s="67">
        <f>SUM(K116:K411)</f>
        <v>18363.27285714286</v>
      </c>
      <c r="L412" s="6"/>
      <c r="V412" s="1"/>
    </row>
    <row r="413" spans="2:22" s="5" customFormat="1" ht="15.75">
      <c r="B413" s="1"/>
      <c r="C413" s="64"/>
      <c r="D413" s="64"/>
      <c r="E413" s="64"/>
      <c r="F413" s="64"/>
      <c r="G413" s="64"/>
      <c r="H413" s="66"/>
      <c r="I413" s="66"/>
      <c r="J413" s="66"/>
      <c r="K413" s="67"/>
      <c r="L413" s="6"/>
      <c r="V413" s="1"/>
    </row>
    <row r="414" spans="1:22" s="5" customFormat="1" ht="22.5" customHeight="1">
      <c r="A414" s="191" t="s">
        <v>462</v>
      </c>
      <c r="B414" s="191"/>
      <c r="C414" s="191"/>
      <c r="D414" s="191"/>
      <c r="E414" s="191"/>
      <c r="F414" s="191"/>
      <c r="G414" s="191"/>
      <c r="H414" s="191"/>
      <c r="I414" s="191"/>
      <c r="J414" s="191"/>
      <c r="K414" s="191"/>
      <c r="L414" s="191"/>
      <c r="V414" s="1"/>
    </row>
    <row r="415" spans="1:22" s="5" customFormat="1" ht="51.75">
      <c r="A415" s="192" t="s">
        <v>132</v>
      </c>
      <c r="B415" s="159" t="s">
        <v>133</v>
      </c>
      <c r="C415" s="160"/>
      <c r="D415" s="161"/>
      <c r="E415" s="193" t="s">
        <v>134</v>
      </c>
      <c r="F415" s="193" t="s">
        <v>135</v>
      </c>
      <c r="G415" s="194" t="s">
        <v>136</v>
      </c>
      <c r="H415" s="18" t="s">
        <v>130</v>
      </c>
      <c r="K415" s="18" t="s">
        <v>131</v>
      </c>
      <c r="L415" s="195" t="s">
        <v>10</v>
      </c>
      <c r="V415" s="1"/>
    </row>
    <row r="416" spans="1:22" s="5" customFormat="1" ht="13.5">
      <c r="A416" s="172" t="s">
        <v>463</v>
      </c>
      <c r="B416" s="167" t="s">
        <v>464</v>
      </c>
      <c r="C416" s="167" t="s">
        <v>465</v>
      </c>
      <c r="D416" s="167" t="s">
        <v>466</v>
      </c>
      <c r="E416" s="173">
        <v>4</v>
      </c>
      <c r="F416" s="167">
        <f>134</f>
        <v>134</v>
      </c>
      <c r="G416" s="168">
        <f aca="true" t="shared" si="20" ref="G416:G442">F416*E416</f>
        <v>536</v>
      </c>
      <c r="H416" s="26">
        <v>1.4</v>
      </c>
      <c r="I416" s="26"/>
      <c r="J416" s="26"/>
      <c r="K416" s="26">
        <f aca="true" t="shared" si="21" ref="K416:K442">H416*F416</f>
        <v>187.6</v>
      </c>
      <c r="L416" s="196" t="s">
        <v>141</v>
      </c>
      <c r="V416" s="1"/>
    </row>
    <row r="417" spans="1:22" s="5" customFormat="1" ht="13.5">
      <c r="A417" s="172" t="s">
        <v>467</v>
      </c>
      <c r="B417" s="167" t="s">
        <v>464</v>
      </c>
      <c r="C417" s="167" t="s">
        <v>465</v>
      </c>
      <c r="D417" s="167" t="s">
        <v>466</v>
      </c>
      <c r="E417" s="173">
        <v>4</v>
      </c>
      <c r="F417" s="167">
        <f>98</f>
        <v>98</v>
      </c>
      <c r="G417" s="168">
        <f t="shared" si="20"/>
        <v>392</v>
      </c>
      <c r="H417" s="26">
        <v>1.4</v>
      </c>
      <c r="I417" s="26"/>
      <c r="J417" s="26"/>
      <c r="K417" s="26">
        <f t="shared" si="21"/>
        <v>137.2</v>
      </c>
      <c r="L417" s="171" t="s">
        <v>144</v>
      </c>
      <c r="V417" s="1"/>
    </row>
    <row r="418" spans="1:22" s="5" customFormat="1" ht="13.5">
      <c r="A418" s="172" t="s">
        <v>468</v>
      </c>
      <c r="B418" s="167" t="s">
        <v>464</v>
      </c>
      <c r="C418" s="167" t="s">
        <v>465</v>
      </c>
      <c r="D418" s="167" t="s">
        <v>466</v>
      </c>
      <c r="E418" s="173">
        <v>4</v>
      </c>
      <c r="F418" s="167">
        <f>47+20+12</f>
        <v>79</v>
      </c>
      <c r="G418" s="168">
        <f t="shared" si="20"/>
        <v>316</v>
      </c>
      <c r="H418" s="26">
        <v>1.4</v>
      </c>
      <c r="I418" s="26"/>
      <c r="J418" s="26"/>
      <c r="K418" s="26">
        <f t="shared" si="21"/>
        <v>110.6</v>
      </c>
      <c r="L418" s="171" t="s">
        <v>144</v>
      </c>
      <c r="V418" s="1"/>
    </row>
    <row r="419" spans="1:22" s="5" customFormat="1" ht="13.5">
      <c r="A419" s="172" t="s">
        <v>469</v>
      </c>
      <c r="B419" s="167" t="s">
        <v>464</v>
      </c>
      <c r="C419" s="167" t="s">
        <v>470</v>
      </c>
      <c r="D419" s="167" t="s">
        <v>471</v>
      </c>
      <c r="E419" s="173">
        <v>0.11</v>
      </c>
      <c r="F419" s="167">
        <f>3000+3000+2180</f>
        <v>8180</v>
      </c>
      <c r="G419" s="168">
        <f t="shared" si="20"/>
        <v>899.8</v>
      </c>
      <c r="H419" s="26">
        <v>0.03</v>
      </c>
      <c r="I419" s="26"/>
      <c r="J419" s="26"/>
      <c r="K419" s="26">
        <f t="shared" si="21"/>
        <v>245.39999999999998</v>
      </c>
      <c r="L419" s="171" t="s">
        <v>144</v>
      </c>
      <c r="V419" s="1"/>
    </row>
    <row r="420" spans="1:22" s="5" customFormat="1" ht="13.5">
      <c r="A420" s="172" t="s">
        <v>472</v>
      </c>
      <c r="B420" s="167" t="s">
        <v>464</v>
      </c>
      <c r="C420" s="167" t="s">
        <v>465</v>
      </c>
      <c r="D420" s="167" t="s">
        <v>466</v>
      </c>
      <c r="E420" s="173">
        <v>4</v>
      </c>
      <c r="F420" s="167">
        <f>100+103</f>
        <v>203</v>
      </c>
      <c r="G420" s="168">
        <f t="shared" si="20"/>
        <v>812</v>
      </c>
      <c r="H420" s="26">
        <v>1.4</v>
      </c>
      <c r="I420" s="26"/>
      <c r="J420" s="26"/>
      <c r="K420" s="26">
        <f t="shared" si="21"/>
        <v>284.2</v>
      </c>
      <c r="L420" s="171" t="s">
        <v>144</v>
      </c>
      <c r="V420" s="1"/>
    </row>
    <row r="421" spans="1:22" s="5" customFormat="1" ht="13.5">
      <c r="A421" s="172" t="s">
        <v>473</v>
      </c>
      <c r="B421" s="167" t="s">
        <v>464</v>
      </c>
      <c r="C421" s="167" t="s">
        <v>465</v>
      </c>
      <c r="D421" s="167" t="s">
        <v>466</v>
      </c>
      <c r="E421" s="173">
        <v>4</v>
      </c>
      <c r="F421" s="167">
        <f>44</f>
        <v>44</v>
      </c>
      <c r="G421" s="168">
        <f t="shared" si="20"/>
        <v>176</v>
      </c>
      <c r="H421" s="26">
        <v>1.4</v>
      </c>
      <c r="I421" s="26"/>
      <c r="J421" s="26"/>
      <c r="K421" s="26">
        <f t="shared" si="21"/>
        <v>61.599999999999994</v>
      </c>
      <c r="L421" s="171" t="s">
        <v>144</v>
      </c>
      <c r="V421" s="1"/>
    </row>
    <row r="422" spans="1:22" s="5" customFormat="1" ht="13.5">
      <c r="A422" s="172" t="s">
        <v>474</v>
      </c>
      <c r="B422" s="167" t="s">
        <v>464</v>
      </c>
      <c r="C422" s="167" t="s">
        <v>465</v>
      </c>
      <c r="D422" s="167" t="s">
        <v>466</v>
      </c>
      <c r="E422" s="173">
        <v>4</v>
      </c>
      <c r="F422" s="167">
        <f>23</f>
        <v>23</v>
      </c>
      <c r="G422" s="168">
        <f t="shared" si="20"/>
        <v>92</v>
      </c>
      <c r="H422" s="26">
        <v>1.4</v>
      </c>
      <c r="I422" s="26"/>
      <c r="J422" s="26"/>
      <c r="K422" s="26">
        <f t="shared" si="21"/>
        <v>32.199999999999996</v>
      </c>
      <c r="L422" s="171" t="s">
        <v>144</v>
      </c>
      <c r="V422" s="1"/>
    </row>
    <row r="423" spans="1:22" s="5" customFormat="1" ht="13.5">
      <c r="A423" s="172" t="s">
        <v>475</v>
      </c>
      <c r="B423" s="167" t="s">
        <v>464</v>
      </c>
      <c r="C423" s="167" t="s">
        <v>465</v>
      </c>
      <c r="D423" s="167" t="s">
        <v>466</v>
      </c>
      <c r="E423" s="173">
        <v>3</v>
      </c>
      <c r="F423" s="167">
        <f>168</f>
        <v>168</v>
      </c>
      <c r="G423" s="168">
        <f t="shared" si="20"/>
        <v>504</v>
      </c>
      <c r="H423" s="26">
        <v>1.5</v>
      </c>
      <c r="I423" s="26"/>
      <c r="J423" s="26"/>
      <c r="K423" s="26">
        <f t="shared" si="21"/>
        <v>252</v>
      </c>
      <c r="L423" s="171" t="s">
        <v>144</v>
      </c>
      <c r="V423" s="1"/>
    </row>
    <row r="424" spans="1:22" s="5" customFormat="1" ht="14.25">
      <c r="A424" s="184" t="s">
        <v>476</v>
      </c>
      <c r="B424" s="177" t="s">
        <v>464</v>
      </c>
      <c r="C424" s="177" t="s">
        <v>477</v>
      </c>
      <c r="D424" s="177" t="s">
        <v>478</v>
      </c>
      <c r="E424" s="176">
        <v>2.01</v>
      </c>
      <c r="F424" s="177">
        <f>46</f>
        <v>46</v>
      </c>
      <c r="G424" s="178">
        <f t="shared" si="20"/>
        <v>92.46</v>
      </c>
      <c r="H424" s="26">
        <v>0.7</v>
      </c>
      <c r="I424" s="26"/>
      <c r="J424" s="26"/>
      <c r="K424" s="26">
        <f t="shared" si="21"/>
        <v>32.199999999999996</v>
      </c>
      <c r="L424" s="171" t="s">
        <v>144</v>
      </c>
      <c r="V424" s="1"/>
    </row>
    <row r="425" spans="1:22" s="5" customFormat="1" ht="25.5">
      <c r="A425" s="185" t="s">
        <v>479</v>
      </c>
      <c r="B425" s="182" t="s">
        <v>464</v>
      </c>
      <c r="C425" s="182" t="s">
        <v>470</v>
      </c>
      <c r="D425" s="182" t="s">
        <v>480</v>
      </c>
      <c r="E425" s="181">
        <v>1.03</v>
      </c>
      <c r="F425" s="182">
        <f>70+68+70</f>
        <v>208</v>
      </c>
      <c r="G425" s="183">
        <f t="shared" si="20"/>
        <v>214.24</v>
      </c>
      <c r="H425" s="26">
        <v>0.35</v>
      </c>
      <c r="I425" s="26"/>
      <c r="J425" s="26"/>
      <c r="K425" s="26">
        <f t="shared" si="21"/>
        <v>72.8</v>
      </c>
      <c r="L425" s="171" t="s">
        <v>144</v>
      </c>
      <c r="V425" s="1"/>
    </row>
    <row r="426" spans="1:22" s="5" customFormat="1" ht="25.5">
      <c r="A426" s="172" t="s">
        <v>481</v>
      </c>
      <c r="B426" s="167" t="s">
        <v>464</v>
      </c>
      <c r="C426" s="167" t="s">
        <v>470</v>
      </c>
      <c r="D426" s="167" t="s">
        <v>480</v>
      </c>
      <c r="E426" s="173">
        <v>1.03</v>
      </c>
      <c r="F426" s="167">
        <f>160+92+64</f>
        <v>316</v>
      </c>
      <c r="G426" s="168">
        <f t="shared" si="20"/>
        <v>325.48</v>
      </c>
      <c r="H426" s="26">
        <v>0.35</v>
      </c>
      <c r="I426" s="26"/>
      <c r="J426" s="26"/>
      <c r="K426" s="26">
        <f t="shared" si="21"/>
        <v>110.6</v>
      </c>
      <c r="L426" s="171" t="s">
        <v>144</v>
      </c>
      <c r="V426" s="1"/>
    </row>
    <row r="427" spans="1:22" s="5" customFormat="1" ht="25.5">
      <c r="A427" s="172" t="s">
        <v>482</v>
      </c>
      <c r="B427" s="167" t="s">
        <v>464</v>
      </c>
      <c r="C427" s="167" t="s">
        <v>470</v>
      </c>
      <c r="D427" s="167" t="s">
        <v>480</v>
      </c>
      <c r="E427" s="173">
        <v>1.03</v>
      </c>
      <c r="F427" s="167">
        <f>70+100+70+70+34</f>
        <v>344</v>
      </c>
      <c r="G427" s="168">
        <f t="shared" si="20"/>
        <v>354.32</v>
      </c>
      <c r="H427" s="26">
        <v>0.35</v>
      </c>
      <c r="I427" s="26"/>
      <c r="J427" s="26"/>
      <c r="K427" s="26">
        <f t="shared" si="21"/>
        <v>120.39999999999999</v>
      </c>
      <c r="L427" s="171" t="s">
        <v>144</v>
      </c>
      <c r="V427" s="1"/>
    </row>
    <row r="428" spans="1:22" s="5" customFormat="1" ht="25.5">
      <c r="A428" s="172" t="s">
        <v>483</v>
      </c>
      <c r="B428" s="167" t="s">
        <v>464</v>
      </c>
      <c r="C428" s="167" t="s">
        <v>470</v>
      </c>
      <c r="D428" s="167" t="s">
        <v>480</v>
      </c>
      <c r="E428" s="173">
        <v>1.89</v>
      </c>
      <c r="F428" s="167">
        <f>127+140+94</f>
        <v>361</v>
      </c>
      <c r="G428" s="168">
        <f t="shared" si="20"/>
        <v>682.29</v>
      </c>
      <c r="H428" s="26">
        <v>0.65</v>
      </c>
      <c r="I428" s="26"/>
      <c r="J428" s="26"/>
      <c r="K428" s="26">
        <f t="shared" si="21"/>
        <v>234.65</v>
      </c>
      <c r="L428" s="171" t="s">
        <v>144</v>
      </c>
      <c r="V428" s="1"/>
    </row>
    <row r="429" spans="1:22" s="5" customFormat="1" ht="13.5">
      <c r="A429" s="172" t="s">
        <v>484</v>
      </c>
      <c r="B429" s="167" t="s">
        <v>464</v>
      </c>
      <c r="C429" s="167" t="s">
        <v>470</v>
      </c>
      <c r="D429" s="167" t="s">
        <v>485</v>
      </c>
      <c r="E429" s="173">
        <v>1.96</v>
      </c>
      <c r="F429" s="167">
        <f>100+100</f>
        <v>200</v>
      </c>
      <c r="G429" s="168">
        <f t="shared" si="20"/>
        <v>392</v>
      </c>
      <c r="H429" s="26">
        <v>0.7</v>
      </c>
      <c r="I429" s="26"/>
      <c r="J429" s="26"/>
      <c r="K429" s="26">
        <f t="shared" si="21"/>
        <v>140</v>
      </c>
      <c r="L429" s="171" t="s">
        <v>144</v>
      </c>
      <c r="V429" s="1"/>
    </row>
    <row r="430" spans="1:22" s="5" customFormat="1" ht="13.5">
      <c r="A430" s="172" t="s">
        <v>486</v>
      </c>
      <c r="B430" s="167" t="s">
        <v>464</v>
      </c>
      <c r="C430" s="167" t="s">
        <v>470</v>
      </c>
      <c r="D430" s="167" t="s">
        <v>485</v>
      </c>
      <c r="E430" s="173">
        <v>1.96</v>
      </c>
      <c r="F430" s="167">
        <f>100</f>
        <v>100</v>
      </c>
      <c r="G430" s="168">
        <f t="shared" si="20"/>
        <v>196</v>
      </c>
      <c r="H430" s="26">
        <v>0.7</v>
      </c>
      <c r="I430" s="26"/>
      <c r="J430" s="26"/>
      <c r="K430" s="26">
        <f t="shared" si="21"/>
        <v>70</v>
      </c>
      <c r="L430" s="171" t="s">
        <v>144</v>
      </c>
      <c r="V430" s="1"/>
    </row>
    <row r="431" spans="1:22" s="5" customFormat="1" ht="13.5">
      <c r="A431" s="172" t="s">
        <v>487</v>
      </c>
      <c r="B431" s="167" t="s">
        <v>464</v>
      </c>
      <c r="C431" s="167" t="s">
        <v>470</v>
      </c>
      <c r="D431" s="167" t="s">
        <v>485</v>
      </c>
      <c r="E431" s="173">
        <v>1.96</v>
      </c>
      <c r="F431" s="167">
        <f>86+100+100+100+472+78+100+100</f>
        <v>1136</v>
      </c>
      <c r="G431" s="168">
        <f t="shared" si="20"/>
        <v>2226.56</v>
      </c>
      <c r="H431" s="26">
        <v>0.7</v>
      </c>
      <c r="I431" s="26"/>
      <c r="J431" s="26"/>
      <c r="K431" s="26">
        <f t="shared" si="21"/>
        <v>795.1999999999999</v>
      </c>
      <c r="L431" s="171" t="s">
        <v>144</v>
      </c>
      <c r="V431" s="1"/>
    </row>
    <row r="432" spans="1:22" s="5" customFormat="1" ht="13.5">
      <c r="A432" s="172" t="s">
        <v>488</v>
      </c>
      <c r="B432" s="167" t="s">
        <v>464</v>
      </c>
      <c r="C432" s="167" t="s">
        <v>470</v>
      </c>
      <c r="D432" s="167" t="s">
        <v>485</v>
      </c>
      <c r="E432" s="173">
        <v>1.96</v>
      </c>
      <c r="F432" s="167">
        <f>100+100</f>
        <v>200</v>
      </c>
      <c r="G432" s="168">
        <f t="shared" si="20"/>
        <v>392</v>
      </c>
      <c r="H432" s="26">
        <v>0.7</v>
      </c>
      <c r="I432" s="26"/>
      <c r="J432" s="26"/>
      <c r="K432" s="26">
        <f t="shared" si="21"/>
        <v>140</v>
      </c>
      <c r="L432" s="171" t="s">
        <v>144</v>
      </c>
      <c r="V432" s="1"/>
    </row>
    <row r="433" spans="1:22" s="5" customFormat="1" ht="13.5">
      <c r="A433" s="172" t="s">
        <v>489</v>
      </c>
      <c r="B433" s="167" t="s">
        <v>464</v>
      </c>
      <c r="C433" s="167" t="s">
        <v>470</v>
      </c>
      <c r="D433" s="167" t="s">
        <v>485</v>
      </c>
      <c r="E433" s="173">
        <v>1.96</v>
      </c>
      <c r="F433" s="167">
        <f>100+96+100</f>
        <v>296</v>
      </c>
      <c r="G433" s="168">
        <f t="shared" si="20"/>
        <v>580.16</v>
      </c>
      <c r="H433" s="26">
        <v>0.7</v>
      </c>
      <c r="I433" s="26"/>
      <c r="J433" s="26"/>
      <c r="K433" s="26">
        <f t="shared" si="21"/>
        <v>207.2</v>
      </c>
      <c r="L433" s="171" t="s">
        <v>144</v>
      </c>
      <c r="V433" s="1"/>
    </row>
    <row r="434" spans="1:22" s="5" customFormat="1" ht="13.5">
      <c r="A434" s="172" t="s">
        <v>490</v>
      </c>
      <c r="B434" s="167" t="s">
        <v>464</v>
      </c>
      <c r="C434" s="167" t="s">
        <v>465</v>
      </c>
      <c r="D434" s="167" t="s">
        <v>491</v>
      </c>
      <c r="E434" s="173">
        <v>6</v>
      </c>
      <c r="F434" s="167">
        <f>37</f>
        <v>37</v>
      </c>
      <c r="G434" s="168">
        <f t="shared" si="20"/>
        <v>222</v>
      </c>
      <c r="H434" s="26">
        <v>2.1</v>
      </c>
      <c r="I434" s="26"/>
      <c r="J434" s="26"/>
      <c r="K434" s="26">
        <f t="shared" si="21"/>
        <v>77.7</v>
      </c>
      <c r="L434" s="171" t="s">
        <v>144</v>
      </c>
      <c r="V434" s="1"/>
    </row>
    <row r="435" spans="1:22" s="5" customFormat="1" ht="13.5">
      <c r="A435" s="172" t="s">
        <v>492</v>
      </c>
      <c r="B435" s="167" t="s">
        <v>464</v>
      </c>
      <c r="C435" s="167" t="s">
        <v>477</v>
      </c>
      <c r="D435" s="167" t="s">
        <v>493</v>
      </c>
      <c r="E435" s="173">
        <v>1.96</v>
      </c>
      <c r="F435" s="167">
        <f>48</f>
        <v>48</v>
      </c>
      <c r="G435" s="168">
        <f t="shared" si="20"/>
        <v>94.08</v>
      </c>
      <c r="H435" s="26">
        <v>0.7</v>
      </c>
      <c r="I435" s="26"/>
      <c r="J435" s="26"/>
      <c r="K435" s="26">
        <f t="shared" si="21"/>
        <v>33.599999999999994</v>
      </c>
      <c r="L435" s="171" t="s">
        <v>144</v>
      </c>
      <c r="V435" s="1"/>
    </row>
    <row r="436" spans="1:22" s="5" customFormat="1" ht="25.5">
      <c r="A436" s="172" t="s">
        <v>494</v>
      </c>
      <c r="B436" s="167" t="s">
        <v>464</v>
      </c>
      <c r="C436" s="167" t="s">
        <v>495</v>
      </c>
      <c r="D436" s="167" t="s">
        <v>496</v>
      </c>
      <c r="E436" s="173">
        <v>2.3</v>
      </c>
      <c r="F436" s="167">
        <f>20+20+30+10</f>
        <v>80</v>
      </c>
      <c r="G436" s="168">
        <f t="shared" si="20"/>
        <v>184</v>
      </c>
      <c r="H436" s="26">
        <v>0.8</v>
      </c>
      <c r="I436" s="26"/>
      <c r="J436" s="26"/>
      <c r="K436" s="26">
        <f t="shared" si="21"/>
        <v>64</v>
      </c>
      <c r="L436" s="171" t="s">
        <v>144</v>
      </c>
      <c r="V436" s="1"/>
    </row>
    <row r="437" spans="1:22" s="5" customFormat="1" ht="13.5">
      <c r="A437" s="172" t="s">
        <v>497</v>
      </c>
      <c r="B437" s="167" t="s">
        <v>464</v>
      </c>
      <c r="C437" s="167" t="s">
        <v>477</v>
      </c>
      <c r="D437" s="167" t="s">
        <v>498</v>
      </c>
      <c r="E437" s="173">
        <v>45</v>
      </c>
      <c r="F437" s="167">
        <f>12</f>
        <v>12</v>
      </c>
      <c r="G437" s="168">
        <f t="shared" si="20"/>
        <v>540</v>
      </c>
      <c r="H437" s="26">
        <v>13.1</v>
      </c>
      <c r="I437" s="26"/>
      <c r="J437" s="26"/>
      <c r="K437" s="26">
        <f t="shared" si="21"/>
        <v>157.2</v>
      </c>
      <c r="L437" s="171" t="s">
        <v>144</v>
      </c>
      <c r="V437" s="1"/>
    </row>
    <row r="438" spans="1:22" s="5" customFormat="1" ht="13.5">
      <c r="A438" s="172" t="s">
        <v>499</v>
      </c>
      <c r="B438" s="167" t="s">
        <v>464</v>
      </c>
      <c r="C438" s="167" t="s">
        <v>465</v>
      </c>
      <c r="D438" s="167" t="s">
        <v>500</v>
      </c>
      <c r="E438" s="173">
        <v>7.1</v>
      </c>
      <c r="F438" s="167">
        <f>37</f>
        <v>37</v>
      </c>
      <c r="G438" s="168">
        <f t="shared" si="20"/>
        <v>262.7</v>
      </c>
      <c r="H438" s="26">
        <v>2.4</v>
      </c>
      <c r="I438" s="26"/>
      <c r="J438" s="26"/>
      <c r="K438" s="26">
        <f t="shared" si="21"/>
        <v>88.8</v>
      </c>
      <c r="L438" s="171" t="s">
        <v>144</v>
      </c>
      <c r="V438" s="1"/>
    </row>
    <row r="439" spans="1:22" s="5" customFormat="1" ht="13.5">
      <c r="A439" s="172" t="s">
        <v>501</v>
      </c>
      <c r="B439" s="167" t="s">
        <v>464</v>
      </c>
      <c r="C439" s="167" t="s">
        <v>465</v>
      </c>
      <c r="D439" s="167" t="s">
        <v>500</v>
      </c>
      <c r="E439" s="173">
        <v>6.45</v>
      </c>
      <c r="F439" s="167">
        <f>18</f>
        <v>18</v>
      </c>
      <c r="G439" s="168">
        <f t="shared" si="20"/>
        <v>116.10000000000001</v>
      </c>
      <c r="H439" s="26">
        <v>2.3</v>
      </c>
      <c r="I439" s="26"/>
      <c r="J439" s="26"/>
      <c r="K439" s="26">
        <f t="shared" si="21"/>
        <v>41.4</v>
      </c>
      <c r="L439" s="171" t="s">
        <v>144</v>
      </c>
      <c r="V439" s="1"/>
    </row>
    <row r="440" spans="1:22" s="5" customFormat="1" ht="13.5">
      <c r="A440" s="172" t="s">
        <v>502</v>
      </c>
      <c r="B440" s="167" t="s">
        <v>464</v>
      </c>
      <c r="C440" s="167" t="s">
        <v>477</v>
      </c>
      <c r="D440" s="167" t="s">
        <v>503</v>
      </c>
      <c r="E440" s="173">
        <v>20.2</v>
      </c>
      <c r="F440" s="167">
        <f>7+6+5</f>
        <v>18</v>
      </c>
      <c r="G440" s="168">
        <f t="shared" si="20"/>
        <v>363.59999999999997</v>
      </c>
      <c r="H440" s="26">
        <v>6.8</v>
      </c>
      <c r="I440" s="26"/>
      <c r="J440" s="26"/>
      <c r="K440" s="26">
        <f t="shared" si="21"/>
        <v>122.39999999999999</v>
      </c>
      <c r="L440" s="171" t="s">
        <v>144</v>
      </c>
      <c r="V440" s="1"/>
    </row>
    <row r="441" spans="1:22" s="5" customFormat="1" ht="13.5">
      <c r="A441" s="172" t="s">
        <v>504</v>
      </c>
      <c r="B441" s="167" t="s">
        <v>505</v>
      </c>
      <c r="C441" s="167" t="s">
        <v>506</v>
      </c>
      <c r="D441" s="167" t="s">
        <v>507</v>
      </c>
      <c r="E441" s="173">
        <v>86</v>
      </c>
      <c r="F441" s="167">
        <f>1</f>
        <v>1</v>
      </c>
      <c r="G441" s="168">
        <f t="shared" si="20"/>
        <v>86</v>
      </c>
      <c r="H441" s="26">
        <v>24</v>
      </c>
      <c r="I441" s="26"/>
      <c r="J441" s="26"/>
      <c r="K441" s="26">
        <f t="shared" si="21"/>
        <v>24</v>
      </c>
      <c r="L441" s="171" t="s">
        <v>144</v>
      </c>
      <c r="V441" s="1"/>
    </row>
    <row r="442" spans="1:22" s="5" customFormat="1" ht="13.5">
      <c r="A442" s="172" t="s">
        <v>508</v>
      </c>
      <c r="B442" s="167" t="s">
        <v>505</v>
      </c>
      <c r="C442" s="167" t="s">
        <v>506</v>
      </c>
      <c r="D442" s="167" t="s">
        <v>509</v>
      </c>
      <c r="E442" s="173">
        <v>63</v>
      </c>
      <c r="F442" s="167">
        <f>9</f>
        <v>9</v>
      </c>
      <c r="G442" s="168">
        <f t="shared" si="20"/>
        <v>567</v>
      </c>
      <c r="H442" s="26">
        <v>19</v>
      </c>
      <c r="I442" s="26"/>
      <c r="J442" s="26"/>
      <c r="K442" s="26">
        <f t="shared" si="21"/>
        <v>171</v>
      </c>
      <c r="L442" s="171" t="s">
        <v>144</v>
      </c>
      <c r="V442" s="1"/>
    </row>
    <row r="443" spans="1:22" s="5" customFormat="1" ht="13.5">
      <c r="A443" s="172"/>
      <c r="B443" s="167"/>
      <c r="C443" s="167"/>
      <c r="D443" s="167"/>
      <c r="E443" s="173"/>
      <c r="F443" s="167"/>
      <c r="G443" s="168"/>
      <c r="H443" s="26"/>
      <c r="I443" s="26"/>
      <c r="J443" s="26"/>
      <c r="K443" s="26"/>
      <c r="L443" s="171" t="s">
        <v>144</v>
      </c>
      <c r="V443" s="1"/>
    </row>
    <row r="444" spans="1:22" s="5" customFormat="1" ht="13.5">
      <c r="A444" s="172" t="s">
        <v>510</v>
      </c>
      <c r="B444" s="167" t="s">
        <v>505</v>
      </c>
      <c r="C444" s="167" t="s">
        <v>506</v>
      </c>
      <c r="D444" s="167" t="s">
        <v>511</v>
      </c>
      <c r="E444" s="173">
        <v>38</v>
      </c>
      <c r="F444" s="167">
        <f>18</f>
        <v>18</v>
      </c>
      <c r="G444" s="168">
        <f>F444*E444</f>
        <v>684</v>
      </c>
      <c r="H444" s="6">
        <v>12.1</v>
      </c>
      <c r="I444" s="26"/>
      <c r="J444" s="26"/>
      <c r="K444" s="26">
        <f>H444*F444</f>
        <v>217.79999999999998</v>
      </c>
      <c r="L444" s="171"/>
      <c r="V444" s="1"/>
    </row>
    <row r="445" spans="1:22" s="5" customFormat="1" ht="13.5">
      <c r="A445" s="172"/>
      <c r="B445" s="167"/>
      <c r="C445" s="167"/>
      <c r="D445" s="167"/>
      <c r="E445" s="173"/>
      <c r="F445" s="167"/>
      <c r="G445" s="168"/>
      <c r="H445" s="26"/>
      <c r="I445" s="26"/>
      <c r="J445" s="26"/>
      <c r="K445" s="26"/>
      <c r="L445" s="171" t="s">
        <v>144</v>
      </c>
      <c r="V445" s="1"/>
    </row>
    <row r="446" spans="1:22" s="5" customFormat="1" ht="13.5">
      <c r="A446" s="172" t="s">
        <v>512</v>
      </c>
      <c r="B446" s="167" t="s">
        <v>505</v>
      </c>
      <c r="C446" s="167" t="s">
        <v>506</v>
      </c>
      <c r="D446" s="167" t="s">
        <v>509</v>
      </c>
      <c r="E446" s="173">
        <v>62</v>
      </c>
      <c r="F446" s="167">
        <f>6</f>
        <v>6</v>
      </c>
      <c r="G446" s="168">
        <f aca="true" t="shared" si="22" ref="G446:G517">F446*E446</f>
        <v>372</v>
      </c>
      <c r="H446" s="26">
        <v>18.5</v>
      </c>
      <c r="I446" s="26"/>
      <c r="J446" s="26"/>
      <c r="K446" s="26">
        <f aca="true" t="shared" si="23" ref="K446:K517">H446*F446</f>
        <v>111</v>
      </c>
      <c r="L446" s="171"/>
      <c r="V446" s="1"/>
    </row>
    <row r="447" spans="1:22" s="5" customFormat="1" ht="13.5">
      <c r="A447" s="172" t="s">
        <v>513</v>
      </c>
      <c r="B447" s="167" t="s">
        <v>505</v>
      </c>
      <c r="C447" s="167" t="s">
        <v>506</v>
      </c>
      <c r="D447" s="167" t="s">
        <v>507</v>
      </c>
      <c r="E447" s="173">
        <v>24</v>
      </c>
      <c r="F447" s="167">
        <f>5</f>
        <v>5</v>
      </c>
      <c r="G447" s="168">
        <f t="shared" si="22"/>
        <v>120</v>
      </c>
      <c r="H447" s="26">
        <v>8.5</v>
      </c>
      <c r="I447" s="26"/>
      <c r="J447" s="26"/>
      <c r="K447" s="26">
        <f t="shared" si="23"/>
        <v>42.5</v>
      </c>
      <c r="L447" s="171" t="s">
        <v>144</v>
      </c>
      <c r="V447" s="1"/>
    </row>
    <row r="448" spans="1:22" s="5" customFormat="1" ht="13.5">
      <c r="A448" s="172" t="s">
        <v>514</v>
      </c>
      <c r="B448" s="167" t="s">
        <v>464</v>
      </c>
      <c r="C448" s="167" t="s">
        <v>465</v>
      </c>
      <c r="D448" s="167" t="s">
        <v>515</v>
      </c>
      <c r="E448" s="173">
        <v>6</v>
      </c>
      <c r="F448" s="167">
        <f>35</f>
        <v>35</v>
      </c>
      <c r="G448" s="168">
        <f t="shared" si="22"/>
        <v>210</v>
      </c>
      <c r="H448" s="26">
        <v>2.1</v>
      </c>
      <c r="I448" s="26"/>
      <c r="J448" s="26"/>
      <c r="K448" s="26">
        <f t="shared" si="23"/>
        <v>73.5</v>
      </c>
      <c r="L448" s="171" t="s">
        <v>144</v>
      </c>
      <c r="V448" s="1"/>
    </row>
    <row r="449" spans="1:22" s="5" customFormat="1" ht="13.5">
      <c r="A449" s="172" t="s">
        <v>516</v>
      </c>
      <c r="B449" s="167" t="s">
        <v>464</v>
      </c>
      <c r="C449" s="167" t="s">
        <v>465</v>
      </c>
      <c r="D449" s="167" t="s">
        <v>515</v>
      </c>
      <c r="E449" s="173">
        <v>6</v>
      </c>
      <c r="F449" s="167">
        <f>28</f>
        <v>28</v>
      </c>
      <c r="G449" s="168">
        <f t="shared" si="22"/>
        <v>168</v>
      </c>
      <c r="H449" s="26">
        <v>2.1</v>
      </c>
      <c r="I449" s="26"/>
      <c r="J449" s="26"/>
      <c r="K449" s="26">
        <f t="shared" si="23"/>
        <v>58.800000000000004</v>
      </c>
      <c r="L449" s="171" t="s">
        <v>144</v>
      </c>
      <c r="V449" s="1"/>
    </row>
    <row r="450" spans="1:22" s="5" customFormat="1" ht="13.5">
      <c r="A450" s="172" t="s">
        <v>517</v>
      </c>
      <c r="B450" s="167" t="s">
        <v>505</v>
      </c>
      <c r="C450" s="167" t="s">
        <v>506</v>
      </c>
      <c r="D450" s="167" t="s">
        <v>507</v>
      </c>
      <c r="E450" s="173">
        <v>16.9</v>
      </c>
      <c r="F450" s="167">
        <f>35</f>
        <v>35</v>
      </c>
      <c r="G450" s="168">
        <f t="shared" si="22"/>
        <v>591.5</v>
      </c>
      <c r="H450" s="26">
        <v>5.8</v>
      </c>
      <c r="I450" s="26"/>
      <c r="J450" s="26"/>
      <c r="K450" s="26">
        <f t="shared" si="23"/>
        <v>203</v>
      </c>
      <c r="L450" s="171" t="s">
        <v>144</v>
      </c>
      <c r="V450" s="1"/>
    </row>
    <row r="451" spans="1:22" s="5" customFormat="1" ht="13.5">
      <c r="A451" s="172" t="s">
        <v>518</v>
      </c>
      <c r="B451" s="167" t="s">
        <v>505</v>
      </c>
      <c r="C451" s="167" t="s">
        <v>519</v>
      </c>
      <c r="D451" s="167" t="s">
        <v>520</v>
      </c>
      <c r="E451" s="173">
        <v>3.9</v>
      </c>
      <c r="F451" s="167">
        <f>45</f>
        <v>45</v>
      </c>
      <c r="G451" s="168">
        <f t="shared" si="22"/>
        <v>175.5</v>
      </c>
      <c r="H451" s="26">
        <v>1.3</v>
      </c>
      <c r="I451" s="26"/>
      <c r="J451" s="26"/>
      <c r="K451" s="26">
        <f t="shared" si="23"/>
        <v>58.5</v>
      </c>
      <c r="L451" s="171" t="s">
        <v>144</v>
      </c>
      <c r="V451" s="1"/>
    </row>
    <row r="452" spans="1:22" s="5" customFormat="1" ht="13.5">
      <c r="A452" s="172" t="s">
        <v>521</v>
      </c>
      <c r="B452" s="167" t="s">
        <v>505</v>
      </c>
      <c r="C452" s="167" t="s">
        <v>519</v>
      </c>
      <c r="D452" s="167" t="s">
        <v>520</v>
      </c>
      <c r="E452" s="173">
        <v>8.2</v>
      </c>
      <c r="F452" s="167">
        <f>87</f>
        <v>87</v>
      </c>
      <c r="G452" s="168">
        <f t="shared" si="22"/>
        <v>713.4</v>
      </c>
      <c r="H452" s="26">
        <v>2.8</v>
      </c>
      <c r="I452" s="26"/>
      <c r="J452" s="26"/>
      <c r="K452" s="26">
        <f t="shared" si="23"/>
        <v>243.6</v>
      </c>
      <c r="L452" s="171" t="s">
        <v>144</v>
      </c>
      <c r="V452" s="1"/>
    </row>
    <row r="453" spans="1:22" s="5" customFormat="1" ht="25.5">
      <c r="A453" s="172" t="s">
        <v>522</v>
      </c>
      <c r="B453" s="167" t="s">
        <v>523</v>
      </c>
      <c r="C453" s="167" t="s">
        <v>524</v>
      </c>
      <c r="D453" s="167" t="s">
        <v>525</v>
      </c>
      <c r="E453" s="173">
        <v>18</v>
      </c>
      <c r="F453" s="167">
        <f>24+60</f>
        <v>84</v>
      </c>
      <c r="G453" s="168">
        <f t="shared" si="22"/>
        <v>1512</v>
      </c>
      <c r="H453" s="26">
        <v>6.1</v>
      </c>
      <c r="I453" s="26"/>
      <c r="J453" s="26"/>
      <c r="K453" s="26">
        <f t="shared" si="23"/>
        <v>512.4</v>
      </c>
      <c r="L453" s="171" t="s">
        <v>144</v>
      </c>
      <c r="V453" s="1"/>
    </row>
    <row r="454" spans="1:22" s="5" customFormat="1" ht="25.5">
      <c r="A454" s="172" t="s">
        <v>526</v>
      </c>
      <c r="B454" s="167" t="s">
        <v>523</v>
      </c>
      <c r="C454" s="167" t="s">
        <v>524</v>
      </c>
      <c r="D454" s="167" t="s">
        <v>525</v>
      </c>
      <c r="E454" s="173">
        <v>35</v>
      </c>
      <c r="F454" s="167">
        <f>56</f>
        <v>56</v>
      </c>
      <c r="G454" s="168">
        <f t="shared" si="22"/>
        <v>1960</v>
      </c>
      <c r="H454" s="26">
        <v>11.5</v>
      </c>
      <c r="I454" s="26"/>
      <c r="J454" s="26"/>
      <c r="K454" s="26">
        <f t="shared" si="23"/>
        <v>644</v>
      </c>
      <c r="L454" s="171" t="s">
        <v>144</v>
      </c>
      <c r="V454" s="1"/>
    </row>
    <row r="455" spans="1:22" s="5" customFormat="1" ht="13.5">
      <c r="A455" s="172" t="s">
        <v>527</v>
      </c>
      <c r="B455" s="167" t="s">
        <v>505</v>
      </c>
      <c r="C455" s="167" t="s">
        <v>506</v>
      </c>
      <c r="D455" s="167" t="s">
        <v>507</v>
      </c>
      <c r="E455" s="173">
        <v>17</v>
      </c>
      <c r="F455" s="167">
        <f>106+8</f>
        <v>114</v>
      </c>
      <c r="G455" s="168">
        <f t="shared" si="22"/>
        <v>1938</v>
      </c>
      <c r="H455" s="26">
        <v>5.6</v>
      </c>
      <c r="I455" s="26"/>
      <c r="J455" s="26"/>
      <c r="K455" s="26">
        <f t="shared" si="23"/>
        <v>638.4</v>
      </c>
      <c r="L455" s="171" t="s">
        <v>144</v>
      </c>
      <c r="V455" s="1"/>
    </row>
    <row r="456" spans="1:22" s="5" customFormat="1" ht="13.5">
      <c r="A456" s="172" t="s">
        <v>528</v>
      </c>
      <c r="B456" s="167" t="s">
        <v>464</v>
      </c>
      <c r="C456" s="167" t="s">
        <v>465</v>
      </c>
      <c r="D456" s="167" t="s">
        <v>500</v>
      </c>
      <c r="E456" s="173">
        <v>7.75</v>
      </c>
      <c r="F456" s="167">
        <f>21</f>
        <v>21</v>
      </c>
      <c r="G456" s="168">
        <f t="shared" si="22"/>
        <v>162.75</v>
      </c>
      <c r="H456" s="26">
        <v>2.2</v>
      </c>
      <c r="I456" s="26"/>
      <c r="J456" s="26"/>
      <c r="K456" s="26">
        <f t="shared" si="23"/>
        <v>46.2</v>
      </c>
      <c r="L456" s="171" t="s">
        <v>144</v>
      </c>
      <c r="V456" s="1"/>
    </row>
    <row r="457" spans="1:22" s="5" customFormat="1" ht="13.5">
      <c r="A457" s="172" t="s">
        <v>529</v>
      </c>
      <c r="B457" s="167" t="s">
        <v>464</v>
      </c>
      <c r="C457" s="167" t="s">
        <v>465</v>
      </c>
      <c r="D457" s="167" t="s">
        <v>500</v>
      </c>
      <c r="E457" s="173">
        <v>6.4</v>
      </c>
      <c r="F457" s="167">
        <f>58</f>
        <v>58</v>
      </c>
      <c r="G457" s="168">
        <f t="shared" si="22"/>
        <v>371.20000000000005</v>
      </c>
      <c r="H457" s="26">
        <v>2.1</v>
      </c>
      <c r="I457" s="26"/>
      <c r="J457" s="26"/>
      <c r="K457" s="26">
        <f t="shared" si="23"/>
        <v>121.80000000000001</v>
      </c>
      <c r="L457" s="171" t="s">
        <v>144</v>
      </c>
      <c r="V457" s="1"/>
    </row>
    <row r="458" spans="1:22" s="5" customFormat="1" ht="13.5">
      <c r="A458" s="172" t="s">
        <v>530</v>
      </c>
      <c r="B458" s="167" t="s">
        <v>505</v>
      </c>
      <c r="C458" s="167" t="s">
        <v>506</v>
      </c>
      <c r="D458" s="167" t="s">
        <v>507</v>
      </c>
      <c r="E458" s="173">
        <v>16.9</v>
      </c>
      <c r="F458" s="167">
        <f>32</f>
        <v>32</v>
      </c>
      <c r="G458" s="168">
        <f t="shared" si="22"/>
        <v>540.8</v>
      </c>
      <c r="H458" s="26">
        <v>5.8</v>
      </c>
      <c r="I458" s="26"/>
      <c r="J458" s="26"/>
      <c r="K458" s="26">
        <f t="shared" si="23"/>
        <v>185.6</v>
      </c>
      <c r="L458" s="171" t="s">
        <v>144</v>
      </c>
      <c r="V458" s="1"/>
    </row>
    <row r="459" spans="1:22" s="5" customFormat="1" ht="13.5">
      <c r="A459" s="172" t="s">
        <v>531</v>
      </c>
      <c r="B459" s="167" t="s">
        <v>505</v>
      </c>
      <c r="C459" s="167" t="s">
        <v>506</v>
      </c>
      <c r="D459" s="167" t="s">
        <v>507</v>
      </c>
      <c r="E459" s="173">
        <v>16.9</v>
      </c>
      <c r="F459" s="167">
        <f>50</f>
        <v>50</v>
      </c>
      <c r="G459" s="168">
        <f t="shared" si="22"/>
        <v>844.9999999999999</v>
      </c>
      <c r="H459" s="26">
        <v>5.8</v>
      </c>
      <c r="I459" s="26"/>
      <c r="J459" s="26"/>
      <c r="K459" s="26">
        <f t="shared" si="23"/>
        <v>290</v>
      </c>
      <c r="L459" s="171" t="s">
        <v>144</v>
      </c>
      <c r="V459" s="1"/>
    </row>
    <row r="460" spans="1:22" s="5" customFormat="1" ht="13.5">
      <c r="A460" s="172" t="s">
        <v>532</v>
      </c>
      <c r="B460" s="167" t="s">
        <v>533</v>
      </c>
      <c r="C460" s="167" t="s">
        <v>534</v>
      </c>
      <c r="D460" s="167" t="s">
        <v>535</v>
      </c>
      <c r="E460" s="173">
        <v>52.25</v>
      </c>
      <c r="F460" s="167">
        <f>2</f>
        <v>2</v>
      </c>
      <c r="G460" s="168">
        <f t="shared" si="22"/>
        <v>104.5</v>
      </c>
      <c r="H460" s="26">
        <v>17.5</v>
      </c>
      <c r="I460" s="26"/>
      <c r="J460" s="26"/>
      <c r="K460" s="26">
        <f t="shared" si="23"/>
        <v>35</v>
      </c>
      <c r="L460" s="171" t="s">
        <v>144</v>
      </c>
      <c r="V460" s="1"/>
    </row>
    <row r="461" spans="1:22" s="5" customFormat="1" ht="13.5">
      <c r="A461" s="172" t="s">
        <v>532</v>
      </c>
      <c r="B461" s="167" t="s">
        <v>533</v>
      </c>
      <c r="C461" s="167" t="s">
        <v>534</v>
      </c>
      <c r="D461" s="167" t="s">
        <v>536</v>
      </c>
      <c r="E461" s="173">
        <v>52.25</v>
      </c>
      <c r="F461" s="167">
        <f>4</f>
        <v>4</v>
      </c>
      <c r="G461" s="168">
        <f t="shared" si="22"/>
        <v>209</v>
      </c>
      <c r="H461" s="26">
        <v>17.5</v>
      </c>
      <c r="I461" s="26"/>
      <c r="J461" s="26"/>
      <c r="K461" s="26">
        <f t="shared" si="23"/>
        <v>70</v>
      </c>
      <c r="L461" s="171" t="s">
        <v>144</v>
      </c>
      <c r="V461" s="1"/>
    </row>
    <row r="462" spans="1:22" s="5" customFormat="1" ht="13.5">
      <c r="A462" s="172" t="s">
        <v>537</v>
      </c>
      <c r="B462" s="167" t="s">
        <v>533</v>
      </c>
      <c r="C462" s="167" t="s">
        <v>534</v>
      </c>
      <c r="D462" s="167" t="s">
        <v>536</v>
      </c>
      <c r="E462" s="173">
        <v>38.5</v>
      </c>
      <c r="F462" s="167">
        <f>1</f>
        <v>1</v>
      </c>
      <c r="G462" s="168">
        <f t="shared" si="22"/>
        <v>38.5</v>
      </c>
      <c r="H462" s="26">
        <v>12.5</v>
      </c>
      <c r="I462" s="26"/>
      <c r="J462" s="26"/>
      <c r="K462" s="26">
        <f t="shared" si="23"/>
        <v>12.5</v>
      </c>
      <c r="L462" s="171" t="s">
        <v>144</v>
      </c>
      <c r="V462" s="1"/>
    </row>
    <row r="463" spans="1:22" s="5" customFormat="1" ht="25.5">
      <c r="A463" s="172" t="s">
        <v>538</v>
      </c>
      <c r="B463" s="167" t="s">
        <v>533</v>
      </c>
      <c r="C463" s="167" t="s">
        <v>534</v>
      </c>
      <c r="D463" s="167" t="s">
        <v>535</v>
      </c>
      <c r="E463" s="173">
        <v>24.75</v>
      </c>
      <c r="F463" s="167">
        <f>9</f>
        <v>9</v>
      </c>
      <c r="G463" s="168">
        <f t="shared" si="22"/>
        <v>222.75</v>
      </c>
      <c r="H463" s="26">
        <v>8.5</v>
      </c>
      <c r="I463" s="26"/>
      <c r="J463" s="26"/>
      <c r="K463" s="26">
        <f t="shared" si="23"/>
        <v>76.5</v>
      </c>
      <c r="L463" s="171" t="s">
        <v>144</v>
      </c>
      <c r="V463" s="1"/>
    </row>
    <row r="464" spans="1:22" s="5" customFormat="1" ht="13.5">
      <c r="A464" s="172" t="s">
        <v>539</v>
      </c>
      <c r="B464" s="167" t="s">
        <v>533</v>
      </c>
      <c r="C464" s="167" t="s">
        <v>534</v>
      </c>
      <c r="D464" s="167" t="s">
        <v>535</v>
      </c>
      <c r="E464" s="173">
        <v>30.25</v>
      </c>
      <c r="F464" s="167">
        <f>16</f>
        <v>16</v>
      </c>
      <c r="G464" s="168">
        <f t="shared" si="22"/>
        <v>484</v>
      </c>
      <c r="H464" s="26">
        <v>1.5</v>
      </c>
      <c r="I464" s="26"/>
      <c r="J464" s="26"/>
      <c r="K464" s="26">
        <f t="shared" si="23"/>
        <v>24</v>
      </c>
      <c r="L464" s="171" t="s">
        <v>144</v>
      </c>
      <c r="V464" s="1"/>
    </row>
    <row r="465" spans="1:22" s="5" customFormat="1" ht="13.5">
      <c r="A465" s="172" t="s">
        <v>540</v>
      </c>
      <c r="B465" s="167" t="s">
        <v>533</v>
      </c>
      <c r="C465" s="167" t="s">
        <v>534</v>
      </c>
      <c r="D465" s="167" t="s">
        <v>535</v>
      </c>
      <c r="E465" s="173">
        <v>29</v>
      </c>
      <c r="F465" s="167">
        <f>3*13</f>
        <v>39</v>
      </c>
      <c r="G465" s="168">
        <f t="shared" si="22"/>
        <v>1131</v>
      </c>
      <c r="H465" s="26">
        <v>1.1</v>
      </c>
      <c r="I465" s="26"/>
      <c r="J465" s="26"/>
      <c r="K465" s="26">
        <f t="shared" si="23"/>
        <v>42.900000000000006</v>
      </c>
      <c r="L465" s="171" t="s">
        <v>144</v>
      </c>
      <c r="V465" s="1"/>
    </row>
    <row r="466" spans="1:22" s="5" customFormat="1" ht="13.5">
      <c r="A466" s="172" t="s">
        <v>541</v>
      </c>
      <c r="B466" s="167" t="s">
        <v>533</v>
      </c>
      <c r="C466" s="167" t="s">
        <v>534</v>
      </c>
      <c r="D466" s="167" t="s">
        <v>535</v>
      </c>
      <c r="E466" s="173">
        <v>52.63</v>
      </c>
      <c r="F466" s="167">
        <f>3*7+10+10+10</f>
        <v>51</v>
      </c>
      <c r="G466" s="168">
        <f t="shared" si="22"/>
        <v>2684.13</v>
      </c>
      <c r="H466" s="26">
        <v>14.5</v>
      </c>
      <c r="I466" s="26"/>
      <c r="J466" s="26"/>
      <c r="K466" s="26">
        <f t="shared" si="23"/>
        <v>739.5</v>
      </c>
      <c r="L466" s="171" t="s">
        <v>144</v>
      </c>
      <c r="V466" s="1"/>
    </row>
    <row r="467" spans="1:22" s="5" customFormat="1" ht="25.5">
      <c r="A467" s="172" t="s">
        <v>542</v>
      </c>
      <c r="B467" s="167" t="s">
        <v>533</v>
      </c>
      <c r="C467" s="167" t="s">
        <v>534</v>
      </c>
      <c r="D467" s="167" t="s">
        <v>543</v>
      </c>
      <c r="E467" s="173">
        <v>33.5</v>
      </c>
      <c r="F467" s="167">
        <f>12</f>
        <v>12</v>
      </c>
      <c r="G467" s="168">
        <f t="shared" si="22"/>
        <v>402</v>
      </c>
      <c r="H467" s="26">
        <v>11.5</v>
      </c>
      <c r="I467" s="26"/>
      <c r="J467" s="26"/>
      <c r="K467" s="26">
        <f t="shared" si="23"/>
        <v>138</v>
      </c>
      <c r="L467" s="171" t="s">
        <v>144</v>
      </c>
      <c r="V467" s="1"/>
    </row>
    <row r="468" spans="1:22" s="5" customFormat="1" ht="13.5">
      <c r="A468" s="172" t="s">
        <v>544</v>
      </c>
      <c r="B468" s="167" t="s">
        <v>533</v>
      </c>
      <c r="C468" s="167" t="s">
        <v>534</v>
      </c>
      <c r="D468" s="167" t="s">
        <v>535</v>
      </c>
      <c r="E468" s="173">
        <v>13.15</v>
      </c>
      <c r="F468" s="167">
        <f>10+10+10+6</f>
        <v>36</v>
      </c>
      <c r="G468" s="168">
        <f t="shared" si="22"/>
        <v>473.40000000000003</v>
      </c>
      <c r="H468" s="26">
        <v>4.5</v>
      </c>
      <c r="I468" s="26"/>
      <c r="J468" s="26"/>
      <c r="K468" s="26">
        <f t="shared" si="23"/>
        <v>162</v>
      </c>
      <c r="L468" s="171" t="s">
        <v>144</v>
      </c>
      <c r="V468" s="1"/>
    </row>
    <row r="469" spans="1:22" s="5" customFormat="1" ht="13.5">
      <c r="A469" s="172" t="s">
        <v>545</v>
      </c>
      <c r="B469" s="167" t="s">
        <v>533</v>
      </c>
      <c r="C469" s="167" t="s">
        <v>534</v>
      </c>
      <c r="D469" s="167" t="s">
        <v>535</v>
      </c>
      <c r="E469" s="173">
        <v>26.3</v>
      </c>
      <c r="F469" s="167">
        <f>18+18+18+8</f>
        <v>62</v>
      </c>
      <c r="G469" s="168">
        <f t="shared" si="22"/>
        <v>1630.6000000000001</v>
      </c>
      <c r="H469" s="26">
        <v>9.1</v>
      </c>
      <c r="I469" s="26"/>
      <c r="J469" s="26"/>
      <c r="K469" s="26">
        <f t="shared" si="23"/>
        <v>564.1999999999999</v>
      </c>
      <c r="L469" s="171" t="s">
        <v>144</v>
      </c>
      <c r="V469" s="1"/>
    </row>
    <row r="470" spans="1:22" s="5" customFormat="1" ht="25.5">
      <c r="A470" s="172" t="s">
        <v>546</v>
      </c>
      <c r="B470" s="167" t="s">
        <v>533</v>
      </c>
      <c r="C470" s="167" t="s">
        <v>534</v>
      </c>
      <c r="D470" s="167" t="s">
        <v>543</v>
      </c>
      <c r="E470" s="173">
        <v>45.55</v>
      </c>
      <c r="F470" s="167">
        <f>5*13</f>
        <v>65</v>
      </c>
      <c r="G470" s="168">
        <f t="shared" si="22"/>
        <v>2960.75</v>
      </c>
      <c r="H470" s="26">
        <v>14.2</v>
      </c>
      <c r="I470" s="26"/>
      <c r="J470" s="26"/>
      <c r="K470" s="26">
        <f t="shared" si="23"/>
        <v>923</v>
      </c>
      <c r="L470" s="171" t="s">
        <v>144</v>
      </c>
      <c r="V470" s="1"/>
    </row>
    <row r="471" spans="1:22" s="5" customFormat="1" ht="13.5">
      <c r="A471" s="172" t="s">
        <v>547</v>
      </c>
      <c r="B471" s="167" t="s">
        <v>533</v>
      </c>
      <c r="C471" s="167" t="s">
        <v>534</v>
      </c>
      <c r="D471" s="167" t="s">
        <v>535</v>
      </c>
      <c r="E471" s="173">
        <v>40.19</v>
      </c>
      <c r="F471" s="167">
        <f>5*30+12+9+9+4</f>
        <v>184</v>
      </c>
      <c r="G471" s="168">
        <f t="shared" si="22"/>
        <v>7394.959999999999</v>
      </c>
      <c r="H471" s="26">
        <v>12.1</v>
      </c>
      <c r="I471" s="26"/>
      <c r="J471" s="26"/>
      <c r="K471" s="26">
        <f t="shared" si="23"/>
        <v>2226.4</v>
      </c>
      <c r="L471" s="171" t="s">
        <v>144</v>
      </c>
      <c r="V471" s="1"/>
    </row>
    <row r="472" spans="1:22" s="5" customFormat="1" ht="13.5">
      <c r="A472" s="172" t="s">
        <v>547</v>
      </c>
      <c r="B472" s="167" t="s">
        <v>533</v>
      </c>
      <c r="C472" s="167" t="s">
        <v>534</v>
      </c>
      <c r="D472" s="167" t="s">
        <v>536</v>
      </c>
      <c r="E472" s="173">
        <v>40.19</v>
      </c>
      <c r="F472" s="167">
        <f>4*34</f>
        <v>136</v>
      </c>
      <c r="G472" s="168">
        <f t="shared" si="22"/>
        <v>5465.84</v>
      </c>
      <c r="H472" s="26">
        <v>12.1</v>
      </c>
      <c r="I472" s="26"/>
      <c r="J472" s="26"/>
      <c r="K472" s="26">
        <f t="shared" si="23"/>
        <v>1645.6</v>
      </c>
      <c r="L472" s="171" t="s">
        <v>144</v>
      </c>
      <c r="V472" s="1"/>
    </row>
    <row r="473" spans="1:22" s="5" customFormat="1" ht="25.5">
      <c r="A473" s="172" t="s">
        <v>548</v>
      </c>
      <c r="B473" s="167" t="s">
        <v>533</v>
      </c>
      <c r="C473" s="167" t="s">
        <v>534</v>
      </c>
      <c r="D473" s="167" t="s">
        <v>549</v>
      </c>
      <c r="E473" s="173">
        <v>17.23</v>
      </c>
      <c r="F473" s="167">
        <f>5*6</f>
        <v>30</v>
      </c>
      <c r="G473" s="168">
        <f t="shared" si="22"/>
        <v>516.9</v>
      </c>
      <c r="H473" s="26">
        <v>5.2</v>
      </c>
      <c r="I473" s="26"/>
      <c r="J473" s="26"/>
      <c r="K473" s="26">
        <f t="shared" si="23"/>
        <v>156</v>
      </c>
      <c r="L473" s="171" t="s">
        <v>144</v>
      </c>
      <c r="V473" s="1"/>
    </row>
    <row r="474" spans="1:22" s="5" customFormat="1" ht="13.5">
      <c r="A474" s="172" t="s">
        <v>550</v>
      </c>
      <c r="B474" s="167" t="s">
        <v>533</v>
      </c>
      <c r="C474" s="167" t="s">
        <v>534</v>
      </c>
      <c r="D474" s="167" t="s">
        <v>535</v>
      </c>
      <c r="E474" s="173">
        <v>28.71</v>
      </c>
      <c r="F474" s="167">
        <f>5*15+3</f>
        <v>78</v>
      </c>
      <c r="G474" s="168">
        <f t="shared" si="22"/>
        <v>2239.38</v>
      </c>
      <c r="H474" s="26">
        <v>10.2</v>
      </c>
      <c r="I474" s="26"/>
      <c r="J474" s="26"/>
      <c r="K474" s="26">
        <f t="shared" si="23"/>
        <v>795.5999999999999</v>
      </c>
      <c r="L474" s="171" t="s">
        <v>144</v>
      </c>
      <c r="V474" s="1"/>
    </row>
    <row r="475" spans="1:22" s="5" customFormat="1" ht="13.5">
      <c r="A475" s="172" t="s">
        <v>551</v>
      </c>
      <c r="B475" s="167" t="s">
        <v>533</v>
      </c>
      <c r="C475" s="167" t="s">
        <v>534</v>
      </c>
      <c r="D475" s="167" t="s">
        <v>535</v>
      </c>
      <c r="E475" s="173">
        <v>45.94</v>
      </c>
      <c r="F475" s="167">
        <f>4*7</f>
        <v>28</v>
      </c>
      <c r="G475" s="168">
        <f t="shared" si="22"/>
        <v>1286.32</v>
      </c>
      <c r="H475" s="26">
        <v>16.2</v>
      </c>
      <c r="I475" s="26"/>
      <c r="J475" s="26"/>
      <c r="K475" s="26">
        <f t="shared" si="23"/>
        <v>453.59999999999997</v>
      </c>
      <c r="L475" s="171" t="s">
        <v>144</v>
      </c>
      <c r="V475" s="1"/>
    </row>
    <row r="476" spans="1:22" s="5" customFormat="1" ht="38.25">
      <c r="A476" s="172" t="s">
        <v>552</v>
      </c>
      <c r="B476" s="167" t="s">
        <v>533</v>
      </c>
      <c r="C476" s="167" t="s">
        <v>534</v>
      </c>
      <c r="D476" s="167" t="s">
        <v>553</v>
      </c>
      <c r="E476" s="173">
        <v>34.45</v>
      </c>
      <c r="F476" s="167">
        <f>13</f>
        <v>13</v>
      </c>
      <c r="G476" s="168">
        <f t="shared" si="22"/>
        <v>447.85</v>
      </c>
      <c r="H476" s="26">
        <v>12.3</v>
      </c>
      <c r="I476" s="26"/>
      <c r="J476" s="26"/>
      <c r="K476" s="26">
        <f t="shared" si="23"/>
        <v>159.9</v>
      </c>
      <c r="L476" s="171" t="s">
        <v>144</v>
      </c>
      <c r="V476" s="1"/>
    </row>
    <row r="477" spans="1:22" s="5" customFormat="1" ht="13.5">
      <c r="A477" s="172" t="s">
        <v>554</v>
      </c>
      <c r="B477" s="167" t="s">
        <v>505</v>
      </c>
      <c r="C477" s="167" t="s">
        <v>506</v>
      </c>
      <c r="D477" s="167" t="s">
        <v>511</v>
      </c>
      <c r="E477" s="173">
        <v>49</v>
      </c>
      <c r="F477" s="167">
        <f>4</f>
        <v>4</v>
      </c>
      <c r="G477" s="168">
        <f t="shared" si="22"/>
        <v>196</v>
      </c>
      <c r="H477" s="26">
        <v>17.5</v>
      </c>
      <c r="I477" s="26"/>
      <c r="J477" s="26"/>
      <c r="K477" s="26">
        <f t="shared" si="23"/>
        <v>70</v>
      </c>
      <c r="L477" s="171" t="s">
        <v>144</v>
      </c>
      <c r="V477" s="1"/>
    </row>
    <row r="478" spans="1:22" s="5" customFormat="1" ht="25.5">
      <c r="A478" s="172" t="s">
        <v>555</v>
      </c>
      <c r="B478" s="167" t="s">
        <v>533</v>
      </c>
      <c r="C478" s="167" t="s">
        <v>556</v>
      </c>
      <c r="D478" s="167" t="s">
        <v>535</v>
      </c>
      <c r="E478" s="173">
        <v>14.4</v>
      </c>
      <c r="F478" s="167">
        <f>6</f>
        <v>6</v>
      </c>
      <c r="G478" s="168">
        <f t="shared" si="22"/>
        <v>86.4</v>
      </c>
      <c r="H478" s="26">
        <v>5.1</v>
      </c>
      <c r="I478" s="26"/>
      <c r="J478" s="26"/>
      <c r="K478" s="26">
        <f t="shared" si="23"/>
        <v>30.599999999999998</v>
      </c>
      <c r="L478" s="171" t="s">
        <v>144</v>
      </c>
      <c r="V478" s="1"/>
    </row>
    <row r="479" spans="1:22" s="5" customFormat="1" ht="13.5">
      <c r="A479" s="172" t="s">
        <v>557</v>
      </c>
      <c r="B479" s="167" t="s">
        <v>533</v>
      </c>
      <c r="C479" s="197" t="s">
        <v>373</v>
      </c>
      <c r="D479" s="197" t="s">
        <v>535</v>
      </c>
      <c r="E479" s="173">
        <v>6.88</v>
      </c>
      <c r="F479" s="167">
        <f>60+60+50</f>
        <v>170</v>
      </c>
      <c r="G479" s="168">
        <f t="shared" si="22"/>
        <v>1169.6</v>
      </c>
      <c r="H479" s="26">
        <v>2.2</v>
      </c>
      <c r="I479" s="26"/>
      <c r="J479" s="26"/>
      <c r="K479" s="26">
        <f t="shared" si="23"/>
        <v>374.00000000000006</v>
      </c>
      <c r="L479" s="171" t="s">
        <v>144</v>
      </c>
      <c r="V479" s="1"/>
    </row>
    <row r="480" spans="1:22" s="5" customFormat="1" ht="13.5">
      <c r="A480" s="172" t="s">
        <v>558</v>
      </c>
      <c r="B480" s="167" t="s">
        <v>464</v>
      </c>
      <c r="C480" s="167" t="s">
        <v>470</v>
      </c>
      <c r="D480" s="167" t="s">
        <v>559</v>
      </c>
      <c r="E480" s="173">
        <v>12.04</v>
      </c>
      <c r="F480" s="167">
        <f>14+14+16+11+25+25+10+16+9</f>
        <v>140</v>
      </c>
      <c r="G480" s="168">
        <f t="shared" si="22"/>
        <v>1685.6</v>
      </c>
      <c r="H480" s="26">
        <v>4.1</v>
      </c>
      <c r="I480" s="26"/>
      <c r="J480" s="26"/>
      <c r="K480" s="26">
        <f t="shared" si="23"/>
        <v>574</v>
      </c>
      <c r="L480" s="171" t="s">
        <v>144</v>
      </c>
      <c r="V480" s="1"/>
    </row>
    <row r="481" spans="1:22" s="5" customFormat="1" ht="13.5">
      <c r="A481" s="172" t="s">
        <v>560</v>
      </c>
      <c r="B481" s="167" t="s">
        <v>464</v>
      </c>
      <c r="C481" s="167" t="s">
        <v>477</v>
      </c>
      <c r="D481" s="197" t="s">
        <v>561</v>
      </c>
      <c r="E481" s="173">
        <v>27.5</v>
      </c>
      <c r="F481" s="167">
        <f>2</f>
        <v>2</v>
      </c>
      <c r="G481" s="168">
        <f t="shared" si="22"/>
        <v>55</v>
      </c>
      <c r="H481" s="26">
        <v>9.6</v>
      </c>
      <c r="I481" s="26"/>
      <c r="J481" s="26"/>
      <c r="K481" s="26">
        <f t="shared" si="23"/>
        <v>19.2</v>
      </c>
      <c r="L481" s="171" t="s">
        <v>144</v>
      </c>
      <c r="V481" s="1"/>
    </row>
    <row r="482" spans="1:22" s="5" customFormat="1" ht="13.5">
      <c r="A482" s="172" t="s">
        <v>562</v>
      </c>
      <c r="B482" s="167" t="s">
        <v>464</v>
      </c>
      <c r="C482" s="167" t="s">
        <v>465</v>
      </c>
      <c r="D482" s="167" t="s">
        <v>563</v>
      </c>
      <c r="E482" s="173">
        <v>32.5</v>
      </c>
      <c r="F482" s="167">
        <f aca="true" t="shared" si="24" ref="F482:F483">9</f>
        <v>9</v>
      </c>
      <c r="G482" s="168">
        <f t="shared" si="22"/>
        <v>292.5</v>
      </c>
      <c r="H482" s="26">
        <v>11.2</v>
      </c>
      <c r="I482" s="26"/>
      <c r="J482" s="26"/>
      <c r="K482" s="26">
        <f t="shared" si="23"/>
        <v>100.8</v>
      </c>
      <c r="L482" s="171" t="s">
        <v>144</v>
      </c>
      <c r="V482" s="1"/>
    </row>
    <row r="483" spans="1:22" s="5" customFormat="1" ht="13.5">
      <c r="A483" s="172" t="s">
        <v>564</v>
      </c>
      <c r="B483" s="167" t="s">
        <v>464</v>
      </c>
      <c r="C483" s="167" t="s">
        <v>465</v>
      </c>
      <c r="D483" s="167" t="s">
        <v>563</v>
      </c>
      <c r="E483" s="173">
        <v>32.5</v>
      </c>
      <c r="F483" s="167">
        <f t="shared" si="24"/>
        <v>9</v>
      </c>
      <c r="G483" s="168">
        <f t="shared" si="22"/>
        <v>292.5</v>
      </c>
      <c r="H483" s="26">
        <v>11.2</v>
      </c>
      <c r="I483" s="26"/>
      <c r="J483" s="26"/>
      <c r="K483" s="26">
        <f t="shared" si="23"/>
        <v>100.8</v>
      </c>
      <c r="L483" s="171" t="s">
        <v>144</v>
      </c>
      <c r="V483" s="1"/>
    </row>
    <row r="484" spans="1:22" s="5" customFormat="1" ht="13.5">
      <c r="A484" s="172" t="s">
        <v>565</v>
      </c>
      <c r="B484" s="167" t="s">
        <v>566</v>
      </c>
      <c r="C484" s="197" t="s">
        <v>567</v>
      </c>
      <c r="D484" s="197" t="s">
        <v>535</v>
      </c>
      <c r="E484" s="173">
        <v>3.14</v>
      </c>
      <c r="F484" s="167">
        <f>640+340+33</f>
        <v>1013</v>
      </c>
      <c r="G484" s="168">
        <f t="shared" si="22"/>
        <v>3180.82</v>
      </c>
      <c r="H484" s="26">
        <v>1.1</v>
      </c>
      <c r="I484" s="26"/>
      <c r="J484" s="26"/>
      <c r="K484" s="26">
        <f t="shared" si="23"/>
        <v>1114.3000000000002</v>
      </c>
      <c r="L484" s="171" t="s">
        <v>144</v>
      </c>
      <c r="V484" s="1"/>
    </row>
    <row r="485" spans="1:22" s="5" customFormat="1" ht="13.5">
      <c r="A485" s="172" t="s">
        <v>568</v>
      </c>
      <c r="B485" s="167" t="s">
        <v>464</v>
      </c>
      <c r="C485" s="197" t="s">
        <v>465</v>
      </c>
      <c r="D485" s="197" t="s">
        <v>569</v>
      </c>
      <c r="E485" s="173">
        <v>3.14</v>
      </c>
      <c r="F485" s="167">
        <f>51+39</f>
        <v>90</v>
      </c>
      <c r="G485" s="168">
        <f t="shared" si="22"/>
        <v>282.6</v>
      </c>
      <c r="H485" s="26">
        <v>1.1</v>
      </c>
      <c r="I485" s="26"/>
      <c r="J485" s="26"/>
      <c r="K485" s="26">
        <f t="shared" si="23"/>
        <v>99.00000000000001</v>
      </c>
      <c r="L485" s="171" t="s">
        <v>144</v>
      </c>
      <c r="V485" s="1"/>
    </row>
    <row r="486" spans="1:22" s="5" customFormat="1" ht="13.5">
      <c r="A486" s="172" t="s">
        <v>570</v>
      </c>
      <c r="B486" s="167" t="s">
        <v>464</v>
      </c>
      <c r="C486" s="197" t="s">
        <v>465</v>
      </c>
      <c r="D486" s="197" t="s">
        <v>571</v>
      </c>
      <c r="E486" s="173">
        <v>11.29</v>
      </c>
      <c r="F486" s="167">
        <f>21+22+22+22+22+20+16+20+39+22+21+8</f>
        <v>255</v>
      </c>
      <c r="G486" s="168">
        <f t="shared" si="22"/>
        <v>2878.95</v>
      </c>
      <c r="H486" s="26">
        <v>3.9</v>
      </c>
      <c r="I486" s="26"/>
      <c r="J486" s="26"/>
      <c r="K486" s="26">
        <f t="shared" si="23"/>
        <v>994.5</v>
      </c>
      <c r="L486" s="171" t="s">
        <v>144</v>
      </c>
      <c r="V486" s="1"/>
    </row>
    <row r="487" spans="1:22" s="5" customFormat="1" ht="13.5">
      <c r="A487" s="172" t="s">
        <v>572</v>
      </c>
      <c r="B487" s="167" t="s">
        <v>464</v>
      </c>
      <c r="C487" s="197" t="s">
        <v>465</v>
      </c>
      <c r="D487" s="197"/>
      <c r="E487" s="173">
        <v>11.83</v>
      </c>
      <c r="F487" s="167">
        <f>90+80+57+113</f>
        <v>340</v>
      </c>
      <c r="G487" s="168">
        <f t="shared" si="22"/>
        <v>4022.2</v>
      </c>
      <c r="H487" s="26">
        <v>4.1</v>
      </c>
      <c r="I487" s="26"/>
      <c r="J487" s="26"/>
      <c r="K487" s="26">
        <f t="shared" si="23"/>
        <v>1393.9999999999998</v>
      </c>
      <c r="L487" s="171" t="s">
        <v>144</v>
      </c>
      <c r="V487" s="1"/>
    </row>
    <row r="488" spans="1:22" s="5" customFormat="1" ht="13.5">
      <c r="A488" s="172" t="s">
        <v>573</v>
      </c>
      <c r="B488" s="167" t="s">
        <v>505</v>
      </c>
      <c r="C488" s="197" t="s">
        <v>465</v>
      </c>
      <c r="D488" s="197" t="s">
        <v>515</v>
      </c>
      <c r="E488" s="173">
        <v>39</v>
      </c>
      <c r="F488" s="167">
        <f>15</f>
        <v>15</v>
      </c>
      <c r="G488" s="168">
        <f t="shared" si="22"/>
        <v>585</v>
      </c>
      <c r="H488" s="26">
        <v>13.2</v>
      </c>
      <c r="I488" s="26"/>
      <c r="J488" s="26"/>
      <c r="K488" s="26">
        <f t="shared" si="23"/>
        <v>198</v>
      </c>
      <c r="L488" s="171" t="s">
        <v>144</v>
      </c>
      <c r="V488" s="1"/>
    </row>
    <row r="489" spans="1:22" s="5" customFormat="1" ht="13.5">
      <c r="A489" s="172" t="s">
        <v>574</v>
      </c>
      <c r="B489" s="167" t="s">
        <v>505</v>
      </c>
      <c r="C489" s="197" t="s">
        <v>465</v>
      </c>
      <c r="D489" s="197" t="s">
        <v>515</v>
      </c>
      <c r="E489" s="173">
        <v>45</v>
      </c>
      <c r="F489" s="167">
        <f>33</f>
        <v>33</v>
      </c>
      <c r="G489" s="168">
        <f t="shared" si="22"/>
        <v>1485</v>
      </c>
      <c r="H489" s="26">
        <v>15.5</v>
      </c>
      <c r="I489" s="26"/>
      <c r="J489" s="26"/>
      <c r="K489" s="26">
        <f t="shared" si="23"/>
        <v>511.5</v>
      </c>
      <c r="L489" s="171" t="s">
        <v>144</v>
      </c>
      <c r="V489" s="1"/>
    </row>
    <row r="490" spans="1:22" s="5" customFormat="1" ht="13.5">
      <c r="A490" s="172" t="s">
        <v>575</v>
      </c>
      <c r="B490" s="167" t="s">
        <v>566</v>
      </c>
      <c r="C490" s="197" t="s">
        <v>567</v>
      </c>
      <c r="D490" s="197" t="s">
        <v>535</v>
      </c>
      <c r="E490" s="173">
        <v>3.14</v>
      </c>
      <c r="F490" s="167">
        <f>640+627+114</f>
        <v>1381</v>
      </c>
      <c r="G490" s="168">
        <f t="shared" si="22"/>
        <v>4336.34</v>
      </c>
      <c r="H490" s="26">
        <v>1.1</v>
      </c>
      <c r="I490" s="26"/>
      <c r="J490" s="26"/>
      <c r="K490" s="26">
        <f t="shared" si="23"/>
        <v>1519.1000000000001</v>
      </c>
      <c r="L490" s="171" t="s">
        <v>144</v>
      </c>
      <c r="V490" s="1"/>
    </row>
    <row r="491" spans="1:22" s="5" customFormat="1" ht="13.5">
      <c r="A491" s="172" t="s">
        <v>576</v>
      </c>
      <c r="B491" s="167" t="s">
        <v>505</v>
      </c>
      <c r="C491" s="197" t="s">
        <v>465</v>
      </c>
      <c r="D491" s="197" t="s">
        <v>577</v>
      </c>
      <c r="E491" s="173">
        <v>12</v>
      </c>
      <c r="F491" s="167">
        <f>9</f>
        <v>9</v>
      </c>
      <c r="G491" s="168">
        <f t="shared" si="22"/>
        <v>108</v>
      </c>
      <c r="H491" s="26">
        <v>4.1</v>
      </c>
      <c r="I491" s="26"/>
      <c r="J491" s="26"/>
      <c r="K491" s="26">
        <f t="shared" si="23"/>
        <v>36.9</v>
      </c>
      <c r="L491" s="171" t="s">
        <v>144</v>
      </c>
      <c r="V491" s="1"/>
    </row>
    <row r="492" spans="1:22" s="5" customFormat="1" ht="13.5">
      <c r="A492" s="172" t="s">
        <v>578</v>
      </c>
      <c r="B492" s="167" t="s">
        <v>505</v>
      </c>
      <c r="C492" s="197" t="s">
        <v>465</v>
      </c>
      <c r="D492" s="197" t="s">
        <v>577</v>
      </c>
      <c r="E492" s="173">
        <v>14</v>
      </c>
      <c r="F492" s="167">
        <v>28</v>
      </c>
      <c r="G492" s="168">
        <f t="shared" si="22"/>
        <v>392</v>
      </c>
      <c r="H492" s="26">
        <v>4.2</v>
      </c>
      <c r="I492" s="26"/>
      <c r="J492" s="26"/>
      <c r="K492" s="26">
        <f t="shared" si="23"/>
        <v>117.60000000000001</v>
      </c>
      <c r="L492" s="171" t="s">
        <v>144</v>
      </c>
      <c r="V492" s="1"/>
    </row>
    <row r="493" spans="1:22" s="5" customFormat="1" ht="13.5">
      <c r="A493" s="172" t="s">
        <v>579</v>
      </c>
      <c r="B493" s="167" t="s">
        <v>505</v>
      </c>
      <c r="C493" s="197" t="s">
        <v>465</v>
      </c>
      <c r="D493" s="197" t="s">
        <v>577</v>
      </c>
      <c r="E493" s="173">
        <v>12</v>
      </c>
      <c r="F493" s="167">
        <v>35</v>
      </c>
      <c r="G493" s="168">
        <f t="shared" si="22"/>
        <v>420</v>
      </c>
      <c r="H493" s="26">
        <v>4.1</v>
      </c>
      <c r="I493" s="26"/>
      <c r="J493" s="26"/>
      <c r="K493" s="26">
        <f t="shared" si="23"/>
        <v>143.5</v>
      </c>
      <c r="L493" s="171" t="s">
        <v>144</v>
      </c>
      <c r="V493" s="1"/>
    </row>
    <row r="494" spans="1:22" s="5" customFormat="1" ht="13.5">
      <c r="A494" s="172" t="s">
        <v>580</v>
      </c>
      <c r="B494" s="167" t="s">
        <v>505</v>
      </c>
      <c r="C494" s="197" t="s">
        <v>465</v>
      </c>
      <c r="D494" s="197" t="s">
        <v>507</v>
      </c>
      <c r="E494" s="173">
        <v>10</v>
      </c>
      <c r="F494" s="167">
        <v>48</v>
      </c>
      <c r="G494" s="168">
        <f t="shared" si="22"/>
        <v>480</v>
      </c>
      <c r="H494" s="26">
        <v>3.5</v>
      </c>
      <c r="I494" s="26"/>
      <c r="J494" s="26"/>
      <c r="K494" s="26">
        <f t="shared" si="23"/>
        <v>168</v>
      </c>
      <c r="L494" s="171" t="s">
        <v>144</v>
      </c>
      <c r="V494" s="1"/>
    </row>
    <row r="495" spans="1:22" s="5" customFormat="1" ht="13.5">
      <c r="A495" s="172" t="s">
        <v>581</v>
      </c>
      <c r="B495" s="167" t="s">
        <v>505</v>
      </c>
      <c r="C495" s="197" t="s">
        <v>465</v>
      </c>
      <c r="D495" s="197" t="s">
        <v>507</v>
      </c>
      <c r="E495" s="173">
        <v>12</v>
      </c>
      <c r="F495" s="167">
        <v>36</v>
      </c>
      <c r="G495" s="168">
        <f t="shared" si="22"/>
        <v>432</v>
      </c>
      <c r="H495" s="26">
        <v>4.1</v>
      </c>
      <c r="I495" s="26"/>
      <c r="J495" s="26"/>
      <c r="K495" s="26">
        <f t="shared" si="23"/>
        <v>147.6</v>
      </c>
      <c r="L495" s="171" t="s">
        <v>144</v>
      </c>
      <c r="V495" s="1"/>
    </row>
    <row r="496" spans="1:22" s="5" customFormat="1" ht="13.5">
      <c r="A496" s="172" t="s">
        <v>582</v>
      </c>
      <c r="B496" s="167" t="s">
        <v>505</v>
      </c>
      <c r="C496" s="197" t="s">
        <v>465</v>
      </c>
      <c r="D496" s="197" t="s">
        <v>515</v>
      </c>
      <c r="E496" s="173">
        <v>15</v>
      </c>
      <c r="F496" s="167">
        <v>46</v>
      </c>
      <c r="G496" s="168">
        <f t="shared" si="22"/>
        <v>690</v>
      </c>
      <c r="H496" s="26">
        <v>5.2</v>
      </c>
      <c r="I496" s="26"/>
      <c r="J496" s="26"/>
      <c r="K496" s="26">
        <f t="shared" si="23"/>
        <v>239.20000000000002</v>
      </c>
      <c r="L496" s="171" t="s">
        <v>144</v>
      </c>
      <c r="V496" s="1"/>
    </row>
    <row r="497" spans="1:22" s="5" customFormat="1" ht="13.5">
      <c r="A497" s="172" t="s">
        <v>583</v>
      </c>
      <c r="B497" s="167" t="s">
        <v>505</v>
      </c>
      <c r="C497" s="197" t="s">
        <v>465</v>
      </c>
      <c r="D497" s="197" t="s">
        <v>515</v>
      </c>
      <c r="E497" s="173">
        <v>14</v>
      </c>
      <c r="F497" s="167">
        <v>43</v>
      </c>
      <c r="G497" s="168">
        <f t="shared" si="22"/>
        <v>602</v>
      </c>
      <c r="H497" s="26">
        <v>4.2</v>
      </c>
      <c r="I497" s="26"/>
      <c r="J497" s="26"/>
      <c r="K497" s="26">
        <f t="shared" si="23"/>
        <v>180.6</v>
      </c>
      <c r="L497" s="171" t="s">
        <v>144</v>
      </c>
      <c r="V497" s="1"/>
    </row>
    <row r="498" spans="1:22" s="5" customFormat="1" ht="13.5">
      <c r="A498" s="172" t="s">
        <v>584</v>
      </c>
      <c r="B498" s="167" t="s">
        <v>505</v>
      </c>
      <c r="C498" s="197" t="s">
        <v>465</v>
      </c>
      <c r="D498" s="197" t="s">
        <v>585</v>
      </c>
      <c r="E498" s="173">
        <v>15</v>
      </c>
      <c r="F498" s="167">
        <v>48</v>
      </c>
      <c r="G498" s="168">
        <f t="shared" si="22"/>
        <v>720</v>
      </c>
      <c r="H498" s="26">
        <v>5.2</v>
      </c>
      <c r="I498" s="26"/>
      <c r="J498" s="26"/>
      <c r="K498" s="26">
        <f t="shared" si="23"/>
        <v>249.60000000000002</v>
      </c>
      <c r="L498" s="171" t="s">
        <v>144</v>
      </c>
      <c r="V498" s="1"/>
    </row>
    <row r="499" spans="1:22" s="5" customFormat="1" ht="13.5">
      <c r="A499" s="172" t="s">
        <v>586</v>
      </c>
      <c r="B499" s="167" t="s">
        <v>505</v>
      </c>
      <c r="C499" s="197" t="s">
        <v>465</v>
      </c>
      <c r="D499" s="197" t="s">
        <v>585</v>
      </c>
      <c r="E499" s="173">
        <v>15</v>
      </c>
      <c r="F499" s="167">
        <v>38</v>
      </c>
      <c r="G499" s="168">
        <f t="shared" si="22"/>
        <v>570</v>
      </c>
      <c r="H499" s="26">
        <v>5.2</v>
      </c>
      <c r="I499" s="26"/>
      <c r="J499" s="26"/>
      <c r="K499" s="26">
        <f t="shared" si="23"/>
        <v>197.6</v>
      </c>
      <c r="L499" s="171" t="s">
        <v>144</v>
      </c>
      <c r="V499" s="1"/>
    </row>
    <row r="500" spans="1:22" s="5" customFormat="1" ht="13.5">
      <c r="A500" s="172" t="s">
        <v>587</v>
      </c>
      <c r="B500" s="167" t="s">
        <v>505</v>
      </c>
      <c r="C500" s="197" t="s">
        <v>465</v>
      </c>
      <c r="D500" s="197" t="s">
        <v>585</v>
      </c>
      <c r="E500" s="173">
        <v>14</v>
      </c>
      <c r="F500" s="167">
        <v>41</v>
      </c>
      <c r="G500" s="168">
        <f t="shared" si="22"/>
        <v>574</v>
      </c>
      <c r="H500" s="26">
        <v>4.3</v>
      </c>
      <c r="I500" s="26"/>
      <c r="J500" s="26"/>
      <c r="K500" s="26">
        <f t="shared" si="23"/>
        <v>176.29999999999998</v>
      </c>
      <c r="L500" s="171" t="s">
        <v>144</v>
      </c>
      <c r="V500" s="1"/>
    </row>
    <row r="501" spans="1:22" s="5" customFormat="1" ht="13.5">
      <c r="A501" s="172" t="s">
        <v>588</v>
      </c>
      <c r="B501" s="167" t="s">
        <v>505</v>
      </c>
      <c r="C501" s="197" t="s">
        <v>465</v>
      </c>
      <c r="D501" s="197" t="s">
        <v>589</v>
      </c>
      <c r="E501" s="173">
        <v>41</v>
      </c>
      <c r="F501" s="167">
        <f>24</f>
        <v>24</v>
      </c>
      <c r="G501" s="168">
        <f t="shared" si="22"/>
        <v>984</v>
      </c>
      <c r="H501" s="26">
        <v>14.3</v>
      </c>
      <c r="I501" s="26"/>
      <c r="J501" s="26"/>
      <c r="K501" s="26">
        <f t="shared" si="23"/>
        <v>343.20000000000005</v>
      </c>
      <c r="L501" s="171" t="s">
        <v>144</v>
      </c>
      <c r="V501" s="1"/>
    </row>
    <row r="502" spans="1:22" s="5" customFormat="1" ht="13.5">
      <c r="A502" s="172" t="s">
        <v>590</v>
      </c>
      <c r="B502" s="167" t="s">
        <v>505</v>
      </c>
      <c r="C502" s="197" t="s">
        <v>465</v>
      </c>
      <c r="D502" s="197" t="s">
        <v>589</v>
      </c>
      <c r="E502" s="173">
        <v>41</v>
      </c>
      <c r="F502" s="167">
        <f>34</f>
        <v>34</v>
      </c>
      <c r="G502" s="168">
        <f t="shared" si="22"/>
        <v>1394</v>
      </c>
      <c r="H502" s="26">
        <v>14.3</v>
      </c>
      <c r="I502" s="26"/>
      <c r="J502" s="26"/>
      <c r="K502" s="26">
        <f t="shared" si="23"/>
        <v>486.20000000000005</v>
      </c>
      <c r="L502" s="171" t="s">
        <v>144</v>
      </c>
      <c r="V502" s="1"/>
    </row>
    <row r="503" spans="1:22" s="5" customFormat="1" ht="13.5">
      <c r="A503" s="172" t="s">
        <v>591</v>
      </c>
      <c r="B503" s="167" t="s">
        <v>505</v>
      </c>
      <c r="C503" s="197" t="s">
        <v>465</v>
      </c>
      <c r="D503" s="167" t="s">
        <v>589</v>
      </c>
      <c r="E503" s="173">
        <v>41</v>
      </c>
      <c r="F503" s="167">
        <f>27</f>
        <v>27</v>
      </c>
      <c r="G503" s="168">
        <f t="shared" si="22"/>
        <v>1107</v>
      </c>
      <c r="H503" s="26">
        <v>14.3</v>
      </c>
      <c r="I503" s="26"/>
      <c r="J503" s="26"/>
      <c r="K503" s="26">
        <f t="shared" si="23"/>
        <v>386.1</v>
      </c>
      <c r="L503" s="171" t="s">
        <v>144</v>
      </c>
      <c r="V503" s="1"/>
    </row>
    <row r="504" spans="1:22" s="5" customFormat="1" ht="13.5">
      <c r="A504" s="172" t="s">
        <v>592</v>
      </c>
      <c r="B504" s="167" t="s">
        <v>464</v>
      </c>
      <c r="C504" s="167" t="s">
        <v>593</v>
      </c>
      <c r="D504" s="167" t="s">
        <v>571</v>
      </c>
      <c r="E504" s="173">
        <v>19</v>
      </c>
      <c r="F504" s="167">
        <f>19</f>
        <v>19</v>
      </c>
      <c r="G504" s="168">
        <f t="shared" si="22"/>
        <v>361</v>
      </c>
      <c r="H504" s="26">
        <v>6.2</v>
      </c>
      <c r="I504" s="26"/>
      <c r="J504" s="26"/>
      <c r="K504" s="26">
        <f t="shared" si="23"/>
        <v>117.8</v>
      </c>
      <c r="L504" s="171" t="s">
        <v>144</v>
      </c>
      <c r="V504" s="1"/>
    </row>
    <row r="505" spans="1:22" s="5" customFormat="1" ht="13.5">
      <c r="A505" s="172" t="s">
        <v>594</v>
      </c>
      <c r="B505" s="167" t="s">
        <v>464</v>
      </c>
      <c r="C505" s="167" t="s">
        <v>593</v>
      </c>
      <c r="D505" s="167" t="s">
        <v>571</v>
      </c>
      <c r="E505" s="173">
        <v>12.5</v>
      </c>
      <c r="F505" s="167">
        <f>2</f>
        <v>2</v>
      </c>
      <c r="G505" s="168">
        <f t="shared" si="22"/>
        <v>25</v>
      </c>
      <c r="H505" s="26">
        <v>4.1</v>
      </c>
      <c r="I505" s="26"/>
      <c r="J505" s="26"/>
      <c r="K505" s="26">
        <f t="shared" si="23"/>
        <v>8.2</v>
      </c>
      <c r="L505" s="198"/>
      <c r="V505" s="1"/>
    </row>
    <row r="506" spans="1:22" s="5" customFormat="1" ht="13.5">
      <c r="A506" s="172" t="s">
        <v>595</v>
      </c>
      <c r="B506" s="167" t="s">
        <v>464</v>
      </c>
      <c r="C506" s="167" t="s">
        <v>593</v>
      </c>
      <c r="D506" s="167" t="s">
        <v>571</v>
      </c>
      <c r="E506" s="173">
        <v>21</v>
      </c>
      <c r="F506" s="167">
        <f>4</f>
        <v>4</v>
      </c>
      <c r="G506" s="168">
        <f t="shared" si="22"/>
        <v>84</v>
      </c>
      <c r="H506" s="26">
        <v>6.9</v>
      </c>
      <c r="I506" s="26"/>
      <c r="J506" s="26"/>
      <c r="K506" s="26">
        <f t="shared" si="23"/>
        <v>27.6</v>
      </c>
      <c r="L506" s="171"/>
      <c r="V506" s="1"/>
    </row>
    <row r="507" spans="1:12" ht="13.5">
      <c r="A507" s="172" t="s">
        <v>596</v>
      </c>
      <c r="B507" s="167" t="s">
        <v>464</v>
      </c>
      <c r="C507" s="167" t="s">
        <v>593</v>
      </c>
      <c r="D507" s="167" t="s">
        <v>597</v>
      </c>
      <c r="E507" s="173">
        <v>51</v>
      </c>
      <c r="F507" s="167">
        <f>2</f>
        <v>2</v>
      </c>
      <c r="G507" s="168">
        <f t="shared" si="22"/>
        <v>102</v>
      </c>
      <c r="H507" s="26">
        <v>17.2</v>
      </c>
      <c r="I507" s="26"/>
      <c r="J507" s="26"/>
      <c r="K507" s="26">
        <f t="shared" si="23"/>
        <v>34.4</v>
      </c>
      <c r="L507" s="171" t="s">
        <v>144</v>
      </c>
    </row>
    <row r="508" spans="1:12" ht="13.5">
      <c r="A508" s="172" t="s">
        <v>598</v>
      </c>
      <c r="B508" s="167" t="s">
        <v>505</v>
      </c>
      <c r="C508" s="167" t="s">
        <v>465</v>
      </c>
      <c r="D508" s="167" t="s">
        <v>511</v>
      </c>
      <c r="E508" s="173">
        <v>24.5</v>
      </c>
      <c r="F508" s="167">
        <f>6</f>
        <v>6</v>
      </c>
      <c r="G508" s="168">
        <f t="shared" si="22"/>
        <v>147</v>
      </c>
      <c r="H508" s="26">
        <v>8.1</v>
      </c>
      <c r="I508" s="26"/>
      <c r="J508" s="26"/>
      <c r="K508" s="26">
        <f t="shared" si="23"/>
        <v>48.599999999999994</v>
      </c>
      <c r="L508" s="171" t="s">
        <v>144</v>
      </c>
    </row>
    <row r="509" spans="1:12" ht="13.5">
      <c r="A509" s="199" t="s">
        <v>599</v>
      </c>
      <c r="B509" s="167" t="s">
        <v>464</v>
      </c>
      <c r="C509" s="167" t="s">
        <v>477</v>
      </c>
      <c r="D509" s="167" t="s">
        <v>503</v>
      </c>
      <c r="E509" s="173">
        <v>18</v>
      </c>
      <c r="F509" s="167">
        <f>7+10</f>
        <v>17</v>
      </c>
      <c r="G509" s="168">
        <f t="shared" si="22"/>
        <v>306</v>
      </c>
      <c r="H509" s="26">
        <v>6.2</v>
      </c>
      <c r="I509" s="26"/>
      <c r="J509" s="26"/>
      <c r="K509" s="26">
        <f t="shared" si="23"/>
        <v>105.4</v>
      </c>
      <c r="L509" s="171" t="s">
        <v>144</v>
      </c>
    </row>
    <row r="510" spans="1:12" ht="13.5">
      <c r="A510" s="199" t="s">
        <v>600</v>
      </c>
      <c r="B510" s="167" t="s">
        <v>464</v>
      </c>
      <c r="C510" s="167" t="s">
        <v>477</v>
      </c>
      <c r="D510" s="167" t="s">
        <v>503</v>
      </c>
      <c r="E510" s="173">
        <v>18</v>
      </c>
      <c r="F510" s="167">
        <f>6+3</f>
        <v>9</v>
      </c>
      <c r="G510" s="168">
        <f t="shared" si="22"/>
        <v>162</v>
      </c>
      <c r="H510" s="26">
        <v>6.2</v>
      </c>
      <c r="I510" s="26"/>
      <c r="J510" s="26"/>
      <c r="K510" s="26">
        <f t="shared" si="23"/>
        <v>55.800000000000004</v>
      </c>
      <c r="L510" s="171" t="s">
        <v>144</v>
      </c>
    </row>
    <row r="511" spans="1:12" ht="14.25">
      <c r="A511" s="200" t="s">
        <v>601</v>
      </c>
      <c r="B511" s="177" t="s">
        <v>464</v>
      </c>
      <c r="C511" s="177" t="s">
        <v>477</v>
      </c>
      <c r="D511" s="177" t="s">
        <v>602</v>
      </c>
      <c r="E511" s="176">
        <v>2.25</v>
      </c>
      <c r="F511" s="177">
        <f>200</f>
        <v>200</v>
      </c>
      <c r="G511" s="178">
        <f t="shared" si="22"/>
        <v>450</v>
      </c>
      <c r="H511" s="26">
        <v>0.8</v>
      </c>
      <c r="I511" s="26"/>
      <c r="J511" s="26"/>
      <c r="K511" s="26">
        <f t="shared" si="23"/>
        <v>160</v>
      </c>
      <c r="L511" s="171" t="s">
        <v>144</v>
      </c>
    </row>
    <row r="512" spans="1:12" ht="13.5">
      <c r="A512" s="185" t="s">
        <v>603</v>
      </c>
      <c r="B512" s="182" t="s">
        <v>464</v>
      </c>
      <c r="C512" s="182" t="s">
        <v>477</v>
      </c>
      <c r="D512" s="182" t="s">
        <v>602</v>
      </c>
      <c r="E512" s="181">
        <v>2.4</v>
      </c>
      <c r="F512" s="182">
        <f>96</f>
        <v>96</v>
      </c>
      <c r="G512" s="183">
        <f t="shared" si="22"/>
        <v>230.39999999999998</v>
      </c>
      <c r="H512" s="26">
        <v>0.8</v>
      </c>
      <c r="I512" s="26"/>
      <c r="J512" s="26"/>
      <c r="K512" s="26">
        <f t="shared" si="23"/>
        <v>76.80000000000001</v>
      </c>
      <c r="L512" s="171" t="s">
        <v>144</v>
      </c>
    </row>
    <row r="513" spans="1:12" ht="13.5">
      <c r="A513" s="199" t="s">
        <v>604</v>
      </c>
      <c r="B513" s="167" t="s">
        <v>464</v>
      </c>
      <c r="C513" s="167" t="s">
        <v>477</v>
      </c>
      <c r="D513" s="167" t="s">
        <v>605</v>
      </c>
      <c r="E513" s="173">
        <v>7.1</v>
      </c>
      <c r="F513" s="167">
        <f>167</f>
        <v>167</v>
      </c>
      <c r="G513" s="168">
        <f t="shared" si="22"/>
        <v>1185.7</v>
      </c>
      <c r="H513" s="26">
        <v>2.2</v>
      </c>
      <c r="I513" s="26"/>
      <c r="J513" s="26"/>
      <c r="K513" s="26">
        <f t="shared" si="23"/>
        <v>367.40000000000003</v>
      </c>
      <c r="L513" s="171" t="s">
        <v>144</v>
      </c>
    </row>
    <row r="514" spans="1:12" ht="13.5">
      <c r="A514" s="172" t="s">
        <v>606</v>
      </c>
      <c r="B514" s="167" t="s">
        <v>464</v>
      </c>
      <c r="C514" s="167" t="s">
        <v>477</v>
      </c>
      <c r="D514" s="167" t="s">
        <v>605</v>
      </c>
      <c r="E514" s="173">
        <v>7.1</v>
      </c>
      <c r="F514" s="167">
        <f>31</f>
        <v>31</v>
      </c>
      <c r="G514" s="168">
        <f t="shared" si="22"/>
        <v>220.1</v>
      </c>
      <c r="H514" s="26">
        <v>2.2</v>
      </c>
      <c r="I514" s="26"/>
      <c r="J514" s="26"/>
      <c r="K514" s="26">
        <f t="shared" si="23"/>
        <v>68.2</v>
      </c>
      <c r="L514" s="171" t="s">
        <v>144</v>
      </c>
    </row>
    <row r="515" spans="1:12" ht="25.5">
      <c r="A515" s="172" t="s">
        <v>607</v>
      </c>
      <c r="B515" s="167" t="s">
        <v>533</v>
      </c>
      <c r="C515" s="167" t="s">
        <v>556</v>
      </c>
      <c r="D515" s="167" t="s">
        <v>535</v>
      </c>
      <c r="E515" s="173">
        <v>33.5</v>
      </c>
      <c r="F515" s="167">
        <f>9+4</f>
        <v>13</v>
      </c>
      <c r="G515" s="168">
        <f t="shared" si="22"/>
        <v>435.5</v>
      </c>
      <c r="H515" s="26">
        <v>11.2</v>
      </c>
      <c r="I515" s="26"/>
      <c r="J515" s="26"/>
      <c r="K515" s="26">
        <f t="shared" si="23"/>
        <v>145.6</v>
      </c>
      <c r="L515" s="171" t="s">
        <v>144</v>
      </c>
    </row>
    <row r="516" spans="1:12" ht="13.5">
      <c r="A516" s="199" t="s">
        <v>608</v>
      </c>
      <c r="B516" s="167" t="s">
        <v>464</v>
      </c>
      <c r="C516" s="167" t="s">
        <v>465</v>
      </c>
      <c r="D516" s="167" t="s">
        <v>563</v>
      </c>
      <c r="E516" s="173">
        <v>32.5</v>
      </c>
      <c r="F516" s="167">
        <f>6</f>
        <v>6</v>
      </c>
      <c r="G516" s="168">
        <f t="shared" si="22"/>
        <v>195</v>
      </c>
      <c r="H516" s="26">
        <v>11.4</v>
      </c>
      <c r="I516" s="26"/>
      <c r="J516" s="26"/>
      <c r="K516" s="26">
        <f t="shared" si="23"/>
        <v>68.4</v>
      </c>
      <c r="L516" s="171" t="s">
        <v>144</v>
      </c>
    </row>
    <row r="517" spans="1:12" ht="13.5">
      <c r="A517" s="199" t="s">
        <v>428</v>
      </c>
      <c r="B517" s="167" t="s">
        <v>533</v>
      </c>
      <c r="C517" s="167" t="s">
        <v>534</v>
      </c>
      <c r="D517" s="167" t="s">
        <v>535</v>
      </c>
      <c r="E517" s="173">
        <v>21.9</v>
      </c>
      <c r="F517" s="167">
        <f>5*4+11+10+10</f>
        <v>51</v>
      </c>
      <c r="G517" s="168">
        <f t="shared" si="22"/>
        <v>1116.8999999999999</v>
      </c>
      <c r="H517" s="26">
        <v>7.1</v>
      </c>
      <c r="I517" s="26"/>
      <c r="J517" s="26"/>
      <c r="K517" s="26">
        <f t="shared" si="23"/>
        <v>362.09999999999997</v>
      </c>
      <c r="L517" s="171" t="s">
        <v>144</v>
      </c>
    </row>
    <row r="518" spans="3:12" ht="14.25">
      <c r="C518" s="190" t="s">
        <v>609</v>
      </c>
      <c r="D518" s="190"/>
      <c r="E518" s="190"/>
      <c r="F518" s="190"/>
      <c r="G518" s="190"/>
      <c r="K518" s="66">
        <f>SUM(K416:K517)</f>
        <v>27304.24999999999</v>
      </c>
      <c r="L518" s="201"/>
    </row>
    <row r="519" spans="3:11" ht="18">
      <c r="C519" s="202" t="s">
        <v>610</v>
      </c>
      <c r="D519" s="202"/>
      <c r="E519" s="202"/>
      <c r="F519" s="202"/>
      <c r="G519" s="202"/>
      <c r="K519" s="67">
        <f>K412+K518</f>
        <v>45667.522857142845</v>
      </c>
    </row>
    <row r="521" spans="4:12" ht="18">
      <c r="D521" s="203" t="s">
        <v>611</v>
      </c>
      <c r="E521" s="203"/>
      <c r="F521" s="203"/>
      <c r="G521" s="203"/>
      <c r="K521" s="204">
        <f>H111+K519</f>
        <v>60541.92285714285</v>
      </c>
      <c r="L521" s="205" t="s">
        <v>612</v>
      </c>
    </row>
    <row r="522" ht="25.5" customHeight="1"/>
    <row r="524" spans="1:5" ht="15.75">
      <c r="A524" s="206" t="s">
        <v>613</v>
      </c>
      <c r="B524" s="207" t="s">
        <v>614</v>
      </c>
      <c r="C524" s="207"/>
      <c r="D524" s="207"/>
      <c r="E524" s="207"/>
    </row>
    <row r="525" spans="1:22" s="5" customFormat="1" ht="15.75">
      <c r="A525" s="206"/>
      <c r="B525" s="207" t="s">
        <v>615</v>
      </c>
      <c r="C525" s="207"/>
      <c r="D525" s="207"/>
      <c r="E525" s="207"/>
      <c r="F525" s="2"/>
      <c r="G525" s="4"/>
      <c r="L525" s="6"/>
      <c r="V525" s="1"/>
    </row>
    <row r="526" spans="1:22" s="5" customFormat="1" ht="15.75">
      <c r="A526" s="206"/>
      <c r="B526" s="207" t="s">
        <v>616</v>
      </c>
      <c r="C526" s="207"/>
      <c r="D526" s="207"/>
      <c r="E526" s="207"/>
      <c r="F526" s="2"/>
      <c r="G526" s="4"/>
      <c r="L526" s="6"/>
      <c r="V526" s="1"/>
    </row>
    <row r="527" spans="1:22" s="5" customFormat="1" ht="12.75">
      <c r="A527" s="1"/>
      <c r="B527" s="1"/>
      <c r="C527" s="2"/>
      <c r="D527" s="1"/>
      <c r="E527" s="3"/>
      <c r="F527" s="2"/>
      <c r="G527" s="4"/>
      <c r="L527" s="6"/>
      <c r="V527" s="1"/>
    </row>
    <row r="530" spans="2:8" ht="12.75">
      <c r="B530" s="208" t="s">
        <v>617</v>
      </c>
      <c r="C530" s="208"/>
      <c r="E530" s="209"/>
      <c r="F530" s="209"/>
      <c r="G530" s="90" t="s">
        <v>618</v>
      </c>
      <c r="H530" s="90"/>
    </row>
    <row r="536" spans="2:8" ht="12.75">
      <c r="B536" s="208" t="s">
        <v>619</v>
      </c>
      <c r="C536" s="208"/>
      <c r="G536" s="90" t="s">
        <v>620</v>
      </c>
      <c r="H536" s="90"/>
    </row>
    <row r="544" ht="12.75">
      <c r="L544" s="6" t="s">
        <v>621</v>
      </c>
    </row>
  </sheetData>
  <sheetProtection selectLockedCells="1" selectUnlockedCells="1"/>
  <mergeCells count="69">
    <mergeCell ref="A1:K1"/>
    <mergeCell ref="A2:K2"/>
    <mergeCell ref="A3:K3"/>
    <mergeCell ref="A4:K4"/>
    <mergeCell ref="C5:C6"/>
    <mergeCell ref="D5:E5"/>
    <mergeCell ref="F5:F6"/>
    <mergeCell ref="G5:G6"/>
    <mergeCell ref="H5:H6"/>
    <mergeCell ref="K5:K6"/>
    <mergeCell ref="A7:A12"/>
    <mergeCell ref="A13:A17"/>
    <mergeCell ref="C26:F26"/>
    <mergeCell ref="G26:G28"/>
    <mergeCell ref="H26:H28"/>
    <mergeCell ref="K26:K28"/>
    <mergeCell ref="A27:A28"/>
    <mergeCell ref="C27:D27"/>
    <mergeCell ref="C41:D41"/>
    <mergeCell ref="C46:D46"/>
    <mergeCell ref="G46:G47"/>
    <mergeCell ref="H46:H47"/>
    <mergeCell ref="K46:K47"/>
    <mergeCell ref="C58:E58"/>
    <mergeCell ref="G58:G59"/>
    <mergeCell ref="H58:H59"/>
    <mergeCell ref="K58:K59"/>
    <mergeCell ref="A83:H83"/>
    <mergeCell ref="G84:G85"/>
    <mergeCell ref="H84:H85"/>
    <mergeCell ref="K84:K85"/>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B110:E110"/>
    <mergeCell ref="A111:F111"/>
    <mergeCell ref="A113:H113"/>
    <mergeCell ref="H114:H115"/>
    <mergeCell ref="K114:K115"/>
    <mergeCell ref="L114:L115"/>
    <mergeCell ref="C412:G412"/>
    <mergeCell ref="A414:L414"/>
    <mergeCell ref="C518:G518"/>
    <mergeCell ref="C519:G519"/>
    <mergeCell ref="A524:A526"/>
    <mergeCell ref="G530:H530"/>
    <mergeCell ref="G536:H536"/>
  </mergeCells>
  <printOptions horizontalCentered="1" verticalCentered="1"/>
  <pageMargins left="0.39375" right="0.39375" top="0.39375" bottom="0.39305555555555555" header="0.5118055555555555" footer="0.19652777777777777"/>
  <pageSetup horizontalDpi="300" verticalDpi="300" orientation="landscape" paperSize="9" scale="7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Printed>2017-08-30T09:37:33Z</cp:lastPrinted>
  <dcterms:created xsi:type="dcterms:W3CDTF">2012-08-21T10:01:23Z</dcterms:created>
  <dcterms:modified xsi:type="dcterms:W3CDTF">2017-09-21T11:15:08Z</dcterms:modified>
  <cp:category/>
  <cp:version/>
  <cp:contentType/>
  <cp:contentStatus/>
  <cp:revision>1</cp:revision>
</cp:coreProperties>
</file>