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295" windowWidth="15195" windowHeight="8700" tabRatio="599" activeTab="0"/>
  </bookViews>
  <sheets>
    <sheet name="19.07.2018" sheetId="1" r:id="rId1"/>
  </sheets>
  <definedNames>
    <definedName name="_xlnm.Print_Area" localSheetId="0">'19.07.2018'!#REF!</definedName>
  </definedNames>
  <calcPr fullCalcOnLoad="1"/>
</workbook>
</file>

<file path=xl/sharedStrings.xml><?xml version="1.0" encoding="utf-8"?>
<sst xmlns="http://schemas.openxmlformats.org/spreadsheetml/2006/main" count="2176" uniqueCount="616">
  <si>
    <t xml:space="preserve"> ΕΠΙΠΛΑ  ΚΑΙ ΛΟΙΠΟΣ ΕΞΟΠΛΙΣΜΟΣ ΤΗΣ ΥΠΟ ΕΚΚΑΘΑΡΙΣΗ "ΟΠΕΠ ΑΕ "ΠΡΟΣ ΕΚΠΟΙΗΣΗ                                                                                                                                                                              </t>
  </si>
  <si>
    <t>ΔΙΑΘΕΣΗ ΑΠΟ ΤΟΝ ΧΩΡΟ ΑΠΟΘΗΚΕΥΣΗΣ - ΑΘΗΝΑ</t>
  </si>
  <si>
    <t xml:space="preserve"> ΓΡΑΦΕΙΑ </t>
  </si>
  <si>
    <t>ΠΕΡΙΓΡΑΦΗ ΕΙΔΟΥΣ</t>
  </si>
  <si>
    <t xml:space="preserve">ΤΕΜΑΧΙΑ </t>
  </si>
  <si>
    <t xml:space="preserve">ΣΥΝΟΛΟ ΤΕΜΑΧΙΩΝ </t>
  </si>
  <si>
    <t>ΕΚΤΙΜΩΜΕΝΗ ΣΗΜΕΡΙΝΗ ΑΞΙΑ /  ΤΕΜΑΧΙΟ</t>
  </si>
  <si>
    <t>ΓΕΝΙΚΟ ΣΥΝΟΛΟ</t>
  </si>
  <si>
    <t>ΠΑΛΑΙΟΤΗΤΑ     ΛΕΙΤΟΥΡΓΙΚΗ ΚΑΤΑΣΤΑΣΗ (*)</t>
  </si>
  <si>
    <t xml:space="preserve">ΓΡΑΦΕΙΑ ΞΥΛΙΝΑ ΜΕ ΜΕΤΑΛΛΙΚΑ ΠΟΔΙΑ -SATO                                                                                                                                                  </t>
  </si>
  <si>
    <t>Β</t>
  </si>
  <si>
    <t xml:space="preserve">ΓΡΑΦΕΙΑ ΞΥΛΙΝΑ ΜΕ ΓΩΝΙΑ </t>
  </si>
  <si>
    <t xml:space="preserve">ΚΑΠΑΚΙ ΓΡΑΦΕΙΟΥ </t>
  </si>
  <si>
    <t>ΓΩΝΙΑ ΓΡΑΦΕΙΟΥ</t>
  </si>
  <si>
    <t>ΠΟΔΙΑ ΓΡΑΦΕΙΟΥ</t>
  </si>
  <si>
    <t>ΓΡΑΦΕΙΟ ΜΙΚΡΟ</t>
  </si>
  <si>
    <t>ΤΡΑΠΕΖΙ ΞΥΛΙΝΟ</t>
  </si>
  <si>
    <t>ΣΧΗΜΑΤΟΣ ΟΒΑΛ</t>
  </si>
  <si>
    <t xml:space="preserve">ΤΡΑΠΕΖΙ ΡΟΤΟΝΤΑ ΜΕ  ΜΕΤΑΛΛΙΚΗ ΒΑΣΗ &amp; ΓΥΑΛΙΝΟ ΚΑΠΑΚΙ </t>
  </si>
  <si>
    <t>ΣΕΤ ΕΠΙΠΛΩΣΗΣ ΓΡΑΦΕΙΟΥ ΣΥΝΕΔΡΙΑΣΗΣ ΔΣ</t>
  </si>
  <si>
    <t>ΣΕΤ ΠΑΓΚΟΣ ΣΕΡΒΙΡΙΣΜΑΤΟΣ ΔΣ</t>
  </si>
  <si>
    <t>ΣΕΤ ΕΠΙΠΛΩΣΗΣ ΓΡΑΦΕΙΟΥ ΔΙΟΙΚΗΣΗΣ</t>
  </si>
  <si>
    <t>ΣΥΝΟΛΟ / ΓΕΝΙΚΗ ΑΞΙΑ ΓΡΑΦΕΙΩΝ</t>
  </si>
  <si>
    <t>ΕΡΜΑΡΙΑ / ΝΤΟΥΛΑΠΕΣ</t>
  </si>
  <si>
    <t xml:space="preserve">ΠΕΡΙΓΡΑΦΗ ΕΙΔΟΣ </t>
  </si>
  <si>
    <t xml:space="preserve">ΜΕΤΑΛΛΙΚΑ </t>
  </si>
  <si>
    <t>ΞΥΛΟ</t>
  </si>
  <si>
    <t xml:space="preserve">ΣΥΝΟΛΟ </t>
  </si>
  <si>
    <t xml:space="preserve"> ΧΡΩΜΑΤΟΣ ΓΚΡΙ</t>
  </si>
  <si>
    <t>ΧΡΩΜΑΤΟΣ ΚΑΦΕ</t>
  </si>
  <si>
    <t xml:space="preserve">ΕΡΜΑΡΙΟ  ΚΟΝΤΟ-ΔΙΦΥΛΛΟ </t>
  </si>
  <si>
    <t>ΕΡΜΑΡΙΟ ΜΕΣΑΙΟ -ΔΙΦΥΛΛΟ</t>
  </si>
  <si>
    <t>ΕΡΜΑΡΙΑ ΜΕΓΑΛΑ-ΝΤΟΥΛΑΠΑ -ΔΙΦΥΛΛΑ</t>
  </si>
  <si>
    <t xml:space="preserve">ΡΑΦΙΕΡΑ ΜΕΣΑΙΑ </t>
  </si>
  <si>
    <t xml:space="preserve">ΡΑΦΙΕΡΑ ΜΕΓΑΛΗ  </t>
  </si>
  <si>
    <t>ΣΥΡΤΙΑΡΙΕΡΑ ΓΡΑΦΕΙΟΥ</t>
  </si>
  <si>
    <t>ΕΡΜΑΡΙΟ ΚΟΝΤΟ ROLL TOP</t>
  </si>
  <si>
    <t>ΣΥΡΤΑΡΙΕΡΑ ΓΙΑ ΑΦΙΣΕΣ</t>
  </si>
  <si>
    <t>ΝΤΟΥΛΑΠΙ ΚΟΝΤΟ ΞΥΛΙΝΟ (ΡΟΔΕΣ)</t>
  </si>
  <si>
    <t>ΣΥΝΟΛΟ / ΓΕΝΙΚΗ ΑΞΙΑ ΕΡΜΑΡΙΩΝ</t>
  </si>
  <si>
    <t>ΚΑΡΕΚΛΕΣ</t>
  </si>
  <si>
    <t>ΠΛΑΣΤΙΚΗ</t>
  </si>
  <si>
    <t>ΔΕΡΜΑ / ΥΦΑΣΜΑ</t>
  </si>
  <si>
    <t>ΚΑΡΕΚΛΑ ΕΡΓΑΣΙΑΣ ΜΕ ΒΡΑΧΙΟΝΕΣ &amp; ΡΟΔΕΣ</t>
  </si>
  <si>
    <t xml:space="preserve">ΚΑΡΕΚΛΑ ΕΠΙΣΚΕΠΤΗ </t>
  </si>
  <si>
    <t xml:space="preserve">ΠΟΛΥΘΡΟΝΑ ΣΤΡΟΓΓΥΛΗ ΜΕ ΡΟΔΕΣ </t>
  </si>
  <si>
    <t>ΠΟΛΥΘΡΟΝΕΣ (ΔΙΑΦΟΡΕΣ)</t>
  </si>
  <si>
    <t>ΣΥΝΟΛΟ / ΓΕΝΙΚΗ ΑΞΙΑ ΚΑΡΕΚΛΩΝ</t>
  </si>
  <si>
    <t>ΚΑΝΑΠΕΔΕΣ</t>
  </si>
  <si>
    <t>ΚΑΝΑΠΕΣ</t>
  </si>
  <si>
    <t>ΣΥΝΟΛΟ / ΓΕΝΙΚΗ ΑΞΙΑ ΚΑΝΑΠΕΔΩΝ</t>
  </si>
  <si>
    <t xml:space="preserve">ΛΟΙΠΑ ΕΠΙΠΛΑ &amp; ΕΞΟΠΛΙΣΜΟΣ </t>
  </si>
  <si>
    <t>ΣΕΤ ΕΠΙΠΛΩΝ ΥΠΟΔΟΧΗΣ ΧΡΩΜΑΤΟΣ ΠΡΑΣΙΝΟ ΞΥΛΙΝΟ ( ΝΤΟΥΛΑΠΙΑ ,ΠΑΓΚΟΣ , ΤΡΑΠΕΖΑΚΙ, ΒΙΤΡΙΝΑ )</t>
  </si>
  <si>
    <t>ΕΠΙΠΛΩΣΗ ΠΩΛΗΤΗΡΙΟΥ ΣΥΝΑΡΜΟΛΟΓΟΥΜΕΝΗ  (ΒΕΤΡΙΝΕΣ ΤΟΠΟΘΕΤΗΣΗΣ ΕΚΘΕΜΑΤΩΝ .ΝΤΟΥΛΑΠΙΑ ΑΠΟΘΗΚΕΥΣΗΣ, ΒΟΗΘΗΤΙΚΟΙ ΠΑΓΚΟΙ,) ΧΡΩΜΑΤΟΣ ΑΝΟΙΚΤΟ ΚΕΡΑΜIΔΙ</t>
  </si>
  <si>
    <t>ΕΞΟΠΛΙΣΜΟΣ ΠΩΛΗΤΗΡΙΩΝ</t>
  </si>
  <si>
    <t>ΕΡΜΑΡΙΟ ΠΩΛΗΤΗΡΙΟΥ ΜΕ ΡΟΔΕΣ</t>
  </si>
  <si>
    <t>ΒΙΤΡΙΝΑ ΠΩΛΗΤΗΡΙΟΥ ΓΥΑΛΙΝΗ</t>
  </si>
  <si>
    <t>ΣΤΑΝΤ ΑΦΙΣΩΝ ΠΩΛΗΤΗΡΙΟΥ</t>
  </si>
  <si>
    <t>PLEXIGLASS (ΔΙΑΦΟΡΑ)</t>
  </si>
  <si>
    <t>ΦΩΤΙΣΤΙΚΟ ΠΩΛΗΤΗΡΙΟΥ</t>
  </si>
  <si>
    <t>ΣΕΤ ΓΚΑΡΝΤΑΡΟΜΠΑΣ Δ.Σ (ΣΥΝΑΡΜΟΛΟΓΟΥΜΕΝΗ)</t>
  </si>
  <si>
    <t>ΕΠΙΠΛΟ  TV</t>
  </si>
  <si>
    <t>ΕΠΙΠΛΟ / ΓΡΑΦΕΙΟ Η/Υ</t>
  </si>
  <si>
    <t>ΔΙΑΧΩΡΙΣΤΙΚΑ ΓΡΑΦΕΙΟΥ</t>
  </si>
  <si>
    <t>ΓΡΑΦΕΙΟ - ΣΧΕΔΙΑΣΤΗΡΙΟ</t>
  </si>
  <si>
    <t>ΒΑΣΕΙΣ ΜΕΤΑΛΛΟ / ΞΥΛΟ</t>
  </si>
  <si>
    <t>ΠΑΓΚΟΣ ΕΡΓΑΣΙΑΣ</t>
  </si>
  <si>
    <t>ΡΑΦΙΑ ΔΙΑΦΟΡΑ</t>
  </si>
  <si>
    <t xml:space="preserve">ΞΥΛΟΚΙΒΩΤΙΑ </t>
  </si>
  <si>
    <t>ΝΤΟΥΛΑΠΙΑ / ΒΑΣΗ ΦΩΤΟΤΥΠΙΚΟΥ (ΜΕ ΡΟΔΕΣ)</t>
  </si>
  <si>
    <t>RACK</t>
  </si>
  <si>
    <t>ΦΩΤΙΣΤΙΚΑ / ΑΠΛΙΚΕΣ ΤΟΙΧΟΥ</t>
  </si>
  <si>
    <t>ΦΩΤΙΣΤΙΚΑ ΔΑΠΕΔΟΥ</t>
  </si>
  <si>
    <t>ΚΑΛΟΓΕΡΟΙ ΡΟΥΧΩΝ</t>
  </si>
  <si>
    <t>ΚΑΛΑΘΑΚΙΑ ΑΧΡΗΣΤΩΝ</t>
  </si>
  <si>
    <t>ΚΑΛΑΘΙ ΑΧΡΗΣΤΩΝ ΕΞΩΤΕΡΙΚΟΥ ΧΩΡΟΥ</t>
  </si>
  <si>
    <t>ΣΥΝΟΛΟ / ΓΕΝΙΚΗ ΑΞΙΑ ΛΟΙΠΩΝ ΕΠΙΠΛΩΝ &amp; ΕΞΟΠΛΙΣΜΟΥ</t>
  </si>
  <si>
    <t xml:space="preserve">ΕΠΙΠΛΑ &amp; ΛΟΙΠΟΣ ΕΞΟΠΛΙΣΜΟΣ ΠΟΥ ΔΙΑΤΙΘΕΝΤΑΙ ΠΡΟΣ ΠΩΛΗΣΗ ΑΠΟ ΤΟΝ ΧΩΡΟ ΑΠΟΘΗΚΕΥΣΗΣ -ΘΕΣΣΑΛΟΝΙΚΗ ΚΤΙΡΙΟ ΕΠΙ ΤΗΣ ΟΔΟΥ ΣΑΧΤΟΥΡΗ 34Α ΑΝΩ ΠΟΛΗ </t>
  </si>
  <si>
    <t>ΕΠΙΠΛΩΣΗ ΓΡΑΦΕΙΟΥ</t>
  </si>
  <si>
    <t>ΣΥΝΟΛΟ ΤΕΜΑΧΙΩΝ</t>
  </si>
  <si>
    <t xml:space="preserve"> ΓΡΑΦΕΙΟ ΤΥΠΟΥ"FI" (160X80) MAT KERAM. SATO</t>
  </si>
  <si>
    <t xml:space="preserve"> ΓΡΑΦΕΙΑ 160χ80  SATO</t>
  </si>
  <si>
    <t xml:space="preserve"> ΓΡΑΦΕΙΑ ΟΞΥΑ"FI"(140X80) SATO</t>
  </si>
  <si>
    <t xml:space="preserve"> ΠΡΟΕΚ/ΣΕΙΣ ΓΡΑΦ."FI" ΟΞΥΑ ΑΡΙΣ. SATO</t>
  </si>
  <si>
    <t xml:space="preserve"> ΠΡΟΕΚ/ΣΕΙΣ ΓΡΑΦ."FI" ΟΞΥΑ ΔΕΞ. SATO</t>
  </si>
  <si>
    <t>ΤΡΑΠΕΖΙ ΣΥΣΚΕΨ. "FI" 120 KEΡ. SATO</t>
  </si>
  <si>
    <t>ΤΡΑΠΕΖΙ ΣΥΜ."FI"( 200Χ100) ΚΕΡ. SATO</t>
  </si>
  <si>
    <t>ΚΑΘΙΣΜΑ "FI-DEL" Δ/ΝΤΗ ΔΕΡΜΑΤΙΝΟ SATO</t>
  </si>
  <si>
    <t>ΣΥΡΤΑΡΙΕΡΑ "FI" ΑΣΗΜΙ .Χ.Β SATO</t>
  </si>
  <si>
    <t xml:space="preserve"> ΕΡΜΑΡΙΑ "FILOS"(80X70) ΜΕΤΑΛ. SATO</t>
  </si>
  <si>
    <t xml:space="preserve"> ΜΕΤΑΛΙΚΑ  ΡΑΦΙΑ "FELLOW"</t>
  </si>
  <si>
    <t>ΒΙΒΛΙΟΘΗΚΕΣ (80Χ160)ΑΣΗΜΙ SATO</t>
  </si>
  <si>
    <t xml:space="preserve"> ΚΑΘΙΣΜΑΤΑ ΤΥΠΟΥ "F-DEL"  SATO ΔΕΡΜΑΤΙΝΑ</t>
  </si>
  <si>
    <t xml:space="preserve"> ΚΑΘΙΣΜΑΤΑ TYΠOY "MODY" SATO  ΜΑΥΡΑ</t>
  </si>
  <si>
    <t>ΚΑΝΑΠΕΣ "CAMALEONTE" SATO</t>
  </si>
  <si>
    <t>ΣΥΡΤΑΡΙΕΡΕΣ "FI"ΤΡ. ΑΣΗΜΙ SATO</t>
  </si>
  <si>
    <t>ΕΡΜΑΡΙΑ ΞΥΛΙΝΑ SATO</t>
  </si>
  <si>
    <t xml:space="preserve">ΚΑΘΙΣΜΑΤΑ ΕΡΓΑΣΙΑΣ </t>
  </si>
  <si>
    <t>ΠΑΓΚΟΙ ΕΡΓΑΣΙΑΣ ΤΕΜΑΧ.</t>
  </si>
  <si>
    <t xml:space="preserve">ΚΑΘΙΣΜΑΤΑ ΕΡΓΑΣΙΑΣ ΤΥΠΟΥ  "SATOLI"  </t>
  </si>
  <si>
    <t>ΒΙΒΛΙΟΘΗΚΗ ΑΡΧΕΙΟΥ</t>
  </si>
  <si>
    <t>ΔΙΑΧΩΡΙΣΤΙΚΑ ΓΡΑΦΕΙΟΥ ΤΕΜ 5   SATO</t>
  </si>
  <si>
    <t>ΤΗΛΕΠΙΚΟΙΝΩΝΙΑΚΟ ΚΕΝΤΡΟ "ALKATEL"</t>
  </si>
  <si>
    <t>ΑΝΤΙΗΛΙΑΚΑ STOR "ABNTINI"25Χ188</t>
  </si>
  <si>
    <t xml:space="preserve">ΣΥΝΟΛΟ / ΓΕΝΙΚΗ ΑΞΙΑ ΕΠΙΠΛΩΝ ΥΠΟΚ/ΤΟΣ ΘΕΣ/ΝΙΚΗΣ </t>
  </si>
  <si>
    <t>ΓΕΝΙΚΗ ΑΞΙΑ ΕΠΙΠΛΩΝ - ΛΟΙΠΟΥ ΕΞΟΠΛΙΣΜΟΥ</t>
  </si>
  <si>
    <t>ΜΕΤΑΦΟΡΙΚΑ ΜΕΣΑ</t>
  </si>
  <si>
    <t>AYTOKINHTA  ΙΧ</t>
  </si>
  <si>
    <t xml:space="preserve">MODELO </t>
  </si>
  <si>
    <t>Αριθ. Κυκλοφ</t>
  </si>
  <si>
    <t xml:space="preserve">MITSUBISHI SPACE WAGON   1997cc  ΧΡΩΜΑ ΒΥΣΣΙΝΙ   </t>
  </si>
  <si>
    <t>NZO  5034</t>
  </si>
  <si>
    <t>FORD  MONDEO                     1999cc   ΧΡΩΜΑ ΑΣΗΜΙ</t>
  </si>
  <si>
    <t>ZMB   5784</t>
  </si>
  <si>
    <t>ΓΕΝΙΚΗ ΑΞΙΑ ΟΧΗΜΑΤΩΝ</t>
  </si>
  <si>
    <t xml:space="preserve">ΕΜΠΟΡΕΥΜΑΤΑ ΠΡΟΣ ΕΚΠΟΙΗΣΗ-ΔΙΑΘΕΣΗ ΑΠΟ ΤΟΝ ΧΩΡΟ ΑΠΟΘΗΚΕΥΣΗΣ- ΑΘΗΝΑ </t>
  </si>
  <si>
    <t xml:space="preserve">ΠΡΟΪΟΝΤΑ ΑΝΑ ΚΩΔΙΚΟ ΕΙΔΟΥΣ ΓΙΑ ΠΩΛΗΤΗΡΙΑ </t>
  </si>
  <si>
    <t>Κωδικός Προϊόντος</t>
  </si>
  <si>
    <t>Τίτλος  στα Ελληνικά</t>
  </si>
  <si>
    <t>ΠΕΡΙΓΡΑΦΗ ΚΑΙ ΧΑΡΑΚΤΗΡΙΣΤΙΚΑ ΑΝΑ ΕΙΔΟΣ</t>
  </si>
  <si>
    <t>Κόστος Μονάδος χωρίς ΦΠΑ:</t>
  </si>
  <si>
    <t xml:space="preserve"> ΤΕΜΑΧΙΑ</t>
  </si>
  <si>
    <t xml:space="preserve">ΣΥΝΟΛΟ ΑΞΙΑΣ ΕΜΠΟΡΕΥΜΑΤΩΝ </t>
  </si>
  <si>
    <t>Εκτιμώμενο Σημερινό Κόστος Προ Φπα</t>
  </si>
  <si>
    <t xml:space="preserve">ΓΕΝΙΚΟ ΣΥΝΟΛΟ ΠΡΟ ΦΠΑ </t>
  </si>
  <si>
    <t>ΠΗΛΙΝΟΣ ΔΙΣΚΟΣ ΦΑΙΣΤΟΥ</t>
  </si>
  <si>
    <t>Πιστά Αντίγραφα</t>
  </si>
  <si>
    <t>Κεραμικά</t>
  </si>
  <si>
    <t>Αντίγραφα</t>
  </si>
  <si>
    <t>A</t>
  </si>
  <si>
    <t>ΜΥΚΗΝΑΙΚΟ ΕΙΔΩΛΙΟ ΤΥΠΟΥ Ψ</t>
  </si>
  <si>
    <t>Ειδώλιο</t>
  </si>
  <si>
    <t>Α</t>
  </si>
  <si>
    <t>ΑΓΑΛΜΑΤΙΟ ΚΟΥΡΟΥ</t>
  </si>
  <si>
    <t>Μεταλλικά</t>
  </si>
  <si>
    <t>ΑΓΑΛΜΑΤΙΟ ΑΝΤΡΙΚΗΣ ΜΟΡΦΗΣ</t>
  </si>
  <si>
    <t>ΠΡΟΤΟΜΗ ΣΚΥΛΟΥ</t>
  </si>
  <si>
    <t>ΚΕΦΑΛΙ ΤΟΥ ΗΡΑΚΛΗ ΜΕ ΛΕΟΝΤΗ</t>
  </si>
  <si>
    <t>Κεφαλή</t>
  </si>
  <si>
    <t>ΛΥΧΝΟΣ ΣΕ ΣΧΗΜΑ ΠΛΟΙΟΥ</t>
  </si>
  <si>
    <t>ΑΝΑΘΗΜΑΤΙΚΟ ΑΝΑΓΛΥΦΟ ΣΚΕΠΤΟΜΕΝΗ ΑΘΗΝΑ</t>
  </si>
  <si>
    <t>Ανάγλυφο</t>
  </si>
  <si>
    <t>ΑΝΑΓΛΥΦΟ ΜΕ ΠΑΡΑΣΤΑΣΗ ΑΘΗΝΑΪΚΗΣ ΤΡΙΗΡΟΥΣ (ΠΟΛΕΜΙΚΟ ΠΛΟΙΟ)</t>
  </si>
  <si>
    <t>ΘΡΑΥΣΜΑ ΑΝΑΘΗΜΑΤΙΚΟΥ ΑΝΑΓΛΥΦΟΥ ΜΕ ΠΑΡΑΣΤΑΣΗ ΑΣΚΛΗΠΙΟΥ</t>
  </si>
  <si>
    <t>ΚΑΛΥΜΜΑ ΚΑΘΡΕΦΤΗ</t>
  </si>
  <si>
    <t>ΚΕΦΑΛΙ  ΤΗΣ ΥΓΕΙΑΣ (ΑΠΟ ΤΗΝ ΤΕΓΕΑ)</t>
  </si>
  <si>
    <t>ΑΝΑΘΗΜΑΤΙΚΟ ΑΝΑΓΛΥΦΟ (ΠΟΙΗΤΗΣ)</t>
  </si>
  <si>
    <t>ΓΥΝΑΙΚΕΙΟ ΕΙΔΩΛΙΟ</t>
  </si>
  <si>
    <t>ΒΑΣΗ ΚΑΘΡΕΦΤΗ ΜΕ ΓΥΝΑΙΚΕΙΑ ΜΟΡΦΗ</t>
  </si>
  <si>
    <t>ΑΦΡΟΔΙΤΗ ΠΑΝΩ ΣΕ ΔΕΛΦΙΝΙ</t>
  </si>
  <si>
    <t>Άγαλμα</t>
  </si>
  <si>
    <t>ΤΜΗΜΑ ΕΙΔΩΛΙΟΥ ΓΥΝΑΙΚΕΙΑΣ ΜΟΡΦΗΣ, ΙΣΩΣ ΝΙΚΗΣ</t>
  </si>
  <si>
    <t>ΕΙΔΩΛΙΟ ΛΑΓΟΥ</t>
  </si>
  <si>
    <t>ΕΠΙΤΥΜΒΙΑ ΣΤΗΛΗ ΜΕ ΠΑΡΑΣΤΑΣΗ ΨΑΡΑ</t>
  </si>
  <si>
    <t>ΕΙΔΩΛΙΟ ΤΕΛΕΣΦΟΡΟΥ</t>
  </si>
  <si>
    <t>ΣΥΜΠΛΕΓΜΑ  ΕΡΩΤΑ ΚΑΙ ΨΥΧΗΣ</t>
  </si>
  <si>
    <t>ΑΝΑΓΛΥΦΟ ΗΡΩΑ-ΙΠΠΕΑ</t>
  </si>
  <si>
    <t>ΠΥΞΙΔΑ</t>
  </si>
  <si>
    <t>ΚΕΦΑΛΙ ΚΥΚΛΑΔΙΚΟΥ ΕΙΔΩΛΙΟΥ</t>
  </si>
  <si>
    <t>ΕΙΔΩΛΙΟ ΛΑΤΡΗ</t>
  </si>
  <si>
    <t>ΤΟΙΧΟΓΡΑΦΙΑ ΠΑΡΙΖΙΑΝΑ</t>
  </si>
  <si>
    <t>Τοιχογραφίες</t>
  </si>
  <si>
    <t>ΤΟΙΧΟΓΡΑΦΙΑ ΛΕΥΚΟ ΠΕΡΙΣΤΕΡΙ</t>
  </si>
  <si>
    <t>ΤΟΙΧΟΓΡΑΦΙΑ ΠΡΟΤΟΜΗ ΑΦΡΟΔΙΤΗΣ</t>
  </si>
  <si>
    <t>ΤΟΙΧΟΓΡΑΦΙΑ ΧΕΛΙΔΟΝΟΨΑΡΑ</t>
  </si>
  <si>
    <t>ΑΡΓΥΡΟΣ ΣΤΑΤΗΡΑΣ ΓΟΡΤΥΝΑΣ</t>
  </si>
  <si>
    <t>Νομίσματα</t>
  </si>
  <si>
    <t>ΑΡΓΥΡΗ ΔΡΑΧΜΗ ΤΕΝΕΔΟΥ</t>
  </si>
  <si>
    <t>ΑΡΓΥΡΟ ΤΕΤΡΑΔΡΑΧΜΟ - ΚΟΙΝΟΝ ΧΑΛΚΙΔΕΩΝ</t>
  </si>
  <si>
    <t>ΑΡΓΥΡΟΣ ΣΤΑΤΗΡΑΣ ΔΗΛΟΥ</t>
  </si>
  <si>
    <t>ΧΡΥΣΟΣ ΣΤΑΤΗΡΑΣ ΦΙΛΙΠΠΟΥ Β</t>
  </si>
  <si>
    <t>ΧΡΥΣΟΣ ΣΤΑΤΗΡΑΣ ΜΕΓΑΛΟΥ ΑΛΕΞΑΝΔΡΟΥ</t>
  </si>
  <si>
    <t>ΑΡΓΥΡΟΣ ΣΤΑΤΗΡΑΣ ΣΕΡΙΦΟΥ.</t>
  </si>
  <si>
    <t>ΑΡΓΥΡΟΣ ΣΤΑΤΗΡΑΣ ΛΥΤΤΟΥ.</t>
  </si>
  <si>
    <t>ΑΡΓΥΡΟΣ ΣΤΑΤΗΡΑΣ ΑΙΓΙΝΑΣ</t>
  </si>
  <si>
    <t>ΑΡΓΥΡΟΣ ΣΤΑΤΗΡΑΣ ΠΑΡΟΥ</t>
  </si>
  <si>
    <t>ΑΡΓΥΡΗ ΔΡΑΧΜΗ ΣΙΦΝΟΥ</t>
  </si>
  <si>
    <t>ΑΡΓΥΡΟ ΤΕΤΡΑΔΡΑΧΜΟ ΣΑΜΟΥ</t>
  </si>
  <si>
    <t>ΑΡΓΥΡΟΣ ΣΤΑΤΗΡΑΣ ΧΙΟΥ</t>
  </si>
  <si>
    <t>ΑΡΓΥΡΟ ΤΡΙΩΒΟΛΟ ΤΗΝΟΥ</t>
  </si>
  <si>
    <t>ΑΡΓΥΡΟΣ ΣΤΑΤΗΡΑΣ ΚΑΡΠΑΘΟΥ</t>
  </si>
  <si>
    <t>ΑΡΓΥΡΟΣ ΣΤΑΤΗΡΑΣ ΜΗΛΟΥ</t>
  </si>
  <si>
    <t>ΚΥΚΛΑΔΙΚΟ ΕΙΔΩΛΙΟ ΑΥΛΗΤΗ</t>
  </si>
  <si>
    <t>ΤΟΙΧΟΓΡΑΦΙΑ "ΧΕΛΙΔΟΝΙ ΠΟΥ ΠΕΤΑΕΙ"</t>
  </si>
  <si>
    <t>ΤΟΙΧΟΓΡΑΦΙΑ "ΑΓΡΙΟΠΑΠΙΑ"</t>
  </si>
  <si>
    <t>ΑΛΟΓΟ ΚΑΙ ΑΝΑΒΑΤΗΣ</t>
  </si>
  <si>
    <t>ΚΟΡΙΝΘΙΑΚΟΣ ΑΡΥΒΑΛΛΟΣ</t>
  </si>
  <si>
    <t>ΔΙΠΛΗ ΠΕΡΟΝΗ ΜΕ ΚΕΦΑΛΗ ΡΟΔΑΚΑ
 (ΑΣΗΜΙ ΚΑΙ ΕΠΙΧΡΥΣΩΜΕΝΟ ΑΣΗΜΙ)</t>
  </si>
  <si>
    <t>Κοσμήματα</t>
  </si>
  <si>
    <t>Καρφίτσα</t>
  </si>
  <si>
    <t>ΔΙΠΛΗ ΠΕΡΟΝΗ ΜΕ ΑΛΥΣΙΔΕΣ (ΑΣΗΜΙ)</t>
  </si>
  <si>
    <t>Περόνη</t>
  </si>
  <si>
    <t>ΔΙΠΛΗ ΠΕΡΟΝΗ (ΑΣΗΜΙ)</t>
  </si>
  <si>
    <t>ΔΑΚΤΥΛΙΔΙ ΜΙΚΡΟΓΡΑΦΙΑ ΑΣΗΜΕΝΙΟΥ ΠΡΟΪΣΤΟΡΙΚΟΥ ΒΡΑΧΙΟΛΙΟΥ (ΑΣΗΜΙ)</t>
  </si>
  <si>
    <t>Δαχτυλίδι</t>
  </si>
  <si>
    <t>ΖΩΝΗ (ΕΠΙΧΡΥΣΩΜΕΝΟ ΑΣΗΜΙ)</t>
  </si>
  <si>
    <t>Ζώνη</t>
  </si>
  <si>
    <t>ΣΥΜΠΛΕΓΜΑ ΦΟΡΑΔΑΣ - ΠΩΛΟΥ</t>
  </si>
  <si>
    <t>ΙΠΠΟΣ (ΟΡΕΙΧΑΛΚΟΣ)</t>
  </si>
  <si>
    <t>ΠΗΛΙΝΟ ΡΟΔΙ.</t>
  </si>
  <si>
    <t>ΑΡΓΥΡΗ ΔΡΑΧΜΗ ΘΑΣΟΥ.</t>
  </si>
  <si>
    <t>ΑΡΓΥΡΟΣ ΣΤΑΤΗΡΑΣ ΝΑΞΟΥ.</t>
  </si>
  <si>
    <t>ΑΡΓΥΡΟ ΤΕΤΡΑΔΡΑΧΜΟΝ ΡΟΔΟΥ.</t>
  </si>
  <si>
    <t>ΑΡΓΥΡΟΣ ΣΤΑΤΗΡΑΣ ΛΕΣΒΟΥ, ΑΝΤΙΓΡΑΦΟ ΣΕ ΑΣΗΜΙ</t>
  </si>
  <si>
    <t>ΑΡΓΥΡΟΣ ΣΤΑΤΗΡΑΣ ΚΟΡΙΝΘΟΥ.</t>
  </si>
  <si>
    <t>ΑΡΓΥΡΟ GROSSO RANIERI ZENO (ΔΟΓΗΣ ΒΕΝΕΤΙΑΣ).</t>
  </si>
  <si>
    <t>ΑΡΓΥΡΟΣ ΣΤΑΤΗΡΑΣ - ΚΟΙΝΟΝ ΒΟΙΩΤΩΝ</t>
  </si>
  <si>
    <t>ΑΡΓΥΡΟ ΤΡΙΩΒΟΛΟ - ΑΧΑΪΚΗ ΣΥΜΠΟΛΙΤΕΙΑ</t>
  </si>
  <si>
    <t>ΑΡΓΥΡΟ ΤΕΤΡΑΔΡΑΧΜΟ - ΑΙΤΩΛΙΚΗ ΣΥΜΠΟΛΙΤΕΙΑ</t>
  </si>
  <si>
    <t>ΑΡΓΥΡΟ ΗΜΙΣΤΑΤΗΡΟ - ΚΟΙΝΟΝ ΗΠΕΙΡΩΤΩΝ</t>
  </si>
  <si>
    <t>ΑΡΓΥΡΟΣ ΣΤΑΤΗΡΑΣ - ΚΟΙΝΟΝ ΘΕΣΣΑΛΩΝ</t>
  </si>
  <si>
    <t>ΠΕΡΙΑΠΤΟ (ΑΣΗΜΙ)</t>
  </si>
  <si>
    <t>Περίαπτο</t>
  </si>
  <si>
    <t>ΕΙΔΩΛΙΟΣΧΗΜΟ ΠΕΡΙΑΠΤΟ (ΑΣΗΜΙ)</t>
  </si>
  <si>
    <t>ΚΩΜΙΚΟ ΠΡΟΣΩΠΕΙΟ.</t>
  </si>
  <si>
    <t>ΤΡΑΓΙΚΟ ΠΡΟΣΩΠΕΙΟ.</t>
  </si>
  <si>
    <t>ΜΕΛΑΝΟΜΟΡΦΗ ΑΤΤΙΚΗ ΛΗΚΥΘΟΣ</t>
  </si>
  <si>
    <t>Αγγείο</t>
  </si>
  <si>
    <t>ΜΕΛΑΜΒΑΦΗΣ ΣΚΥΦΟΣ</t>
  </si>
  <si>
    <t>ΜΕΛΑΜΒΑΦΗΣ ΒΟΙΩΤΙΚΟΣ ΚΑΝΘΑΡΟΣ</t>
  </si>
  <si>
    <t>ΠΕΡΙΑΠΤΟ ΑΛΟΓΑΚΙ (ΟΡΕΙΧΑΛΚΟΣ)</t>
  </si>
  <si>
    <t>ΠΕΡΙΑΠΤΟ ΜΕ ΑΛΟΓΑΚΙ (ΟΡΕΙΧΑΛΚΟΣ)</t>
  </si>
  <si>
    <t>ΠΕΡΙΑΠΤΟ ΜΕ ΑΛΟΓΑΚΙ (ΑΣΗΜΙ)</t>
  </si>
  <si>
    <t>ΔΙΑΤΡΗΤΗ  ΧΑΝΔΡΑ ΑΠΟ ΠΕΡΙΑΠΤΟ (ΟΡΕΙΧΑΛΚΟΣ)</t>
  </si>
  <si>
    <t>ΤΡΕΙΣ ΔΙΑΤΡΗΤΕΣ ΧΑΝΤΡΕΣ(ΕΦΑΡΜΟΓΗ : ΟΡΕΙΧΑΛΚΟΣ- ΑΣΗΜΙ)</t>
  </si>
  <si>
    <t>ΤΟΙΧΟΓΡΑΦΙΑ ΤΗΣ  "ΑΝΟΙΞΗΣ" (ΛΕΠΤΟΜΕΡΕΙΑ).</t>
  </si>
  <si>
    <t>ΑΦΙΣΑ ΑΠΟ ΤΟΙΧΟΓΡΑΦΙΑ ΜΕ ΠΑΡΑΣΤΑΣΗ 
ΑΡΠΑΓΗΣ ΠΕΡΣΕΦΟΝΗΣ</t>
  </si>
  <si>
    <t>Εφαρμογές</t>
  </si>
  <si>
    <t>Είδη Χαρτιού</t>
  </si>
  <si>
    <t>Αφίσα</t>
  </si>
  <si>
    <t>ΑΦΙΣΑ ΑΠΟ ΔΙΑΚΟΣΜΟ ΧΡΥΣΕΛΕΦΑΝΤΙΝΗΣ 
ΚΛΙΝΗΣ ΔΙΟΝΥΣΟΣ, ΑΡΙΑΔΝΗ, ΠΑΝ.</t>
  </si>
  <si>
    <t>ΚΑΡΤΑ ΑΠΟ ΤΟΙΧΟΓΡΑΦΙΑ ΜΕ ΠΑΡΑΣΤΑΣΗ ΠΕΡΙΣΤΕΡΙΟΥ</t>
  </si>
  <si>
    <t>Κάρτες</t>
  </si>
  <si>
    <t>Κάρτα ΟΠΕΠ</t>
  </si>
  <si>
    <t>ΚΑΡΤΑ ΜΕ ΧΡΥΣΟ ΣΤΕΦΑΝΙ ΜΥΡΤΙΑΣ.</t>
  </si>
  <si>
    <t>ΚΑΡΤΑ ΜΕ ΛΕΠΤΟΜΕΡΕΙΑ ΤΟΙΧΟΓΡΑΦΙΑΣ.
 Ο ΝΕΚΡΟΣ ΩΣ ΠΟΛΕΜΙΣΤΗΣ.</t>
  </si>
  <si>
    <t>ΚΑΡΤΑ ΜΕ ΧΡΥΣΟ ΓΟΡΓΟΝΕΙΟ,ΔΙΑΚΟΣΜΟΣ ΛΙΝΟΘΩΡΑΚΑ.</t>
  </si>
  <si>
    <t>ΚΑΡΤΑ ΑΠΟ ΤΟΙΧΟΓΡΑΦΙΑ ΜΕ ΠΑΡΑΣΤΑΣΗ ΑΡΠΑΓΗΣ ΠΕΡΣΕΦΟΝΗΣ</t>
  </si>
  <si>
    <t>ΚΑΡΤΑ ΑΠΟ ΤΗΝ ΑΡΧΑΙΑ ΑΓΟΡΑ. ΣΤΟΑ ΑΤΤΑΛΟΥ</t>
  </si>
  <si>
    <t>ΚΑΡΤΑ ΜΕ ΚΟΥΡΟ</t>
  </si>
  <si>
    <t>ΚΑΡΤΑ ΜΕ ΚΟΡΕΣ</t>
  </si>
  <si>
    <t>ΚΑΡΤΑ ΜΕ ΠΡΟΣΘΙΟ ΤΜΗΜΑ  ΑΛΟΓΟΥ</t>
  </si>
  <si>
    <t>ΚΑΡΤΑ ΜΕ ΠΛΟΙΑΡΙΑ</t>
  </si>
  <si>
    <t>ΚΑΡΤΑ ΜΕ ΓΥΝΑΙΚΕΙΟ ΚΥΚΛΑΔΙΚΟ ΑΓΑΛΜΑ</t>
  </si>
  <si>
    <t>ΚΑΡΤΑ ΜΕ ΤΗΝ ΝΙΚΗ ΤΗΣ ΑΚΡΟΠΟΛΕΩΣ.</t>
  </si>
  <si>
    <t>ΚΑΡΤΑ ΜΕ ΤΜΗΜΑ ΑΠΟ ΤΗΝ ΖΩΟΦΟΡΟ 
ΤΟΥ ΠΑΡΘΕΝΩΝΑ. ΠΟΣΕΙΔΩΝ, ΑΠΟΛΛΩΝ, ΑΡΤΕΜΙΣ</t>
  </si>
  <si>
    <t>ΚΑΡΤΑ ΜΕ ΤΜΗΜΑ ΑΠΟ ΤΗΝ ΖΩΟΦΟΡΟ
 ΤΟΥ ΠΑΡΘΕΝΩΝΑ. ΥΔΡΙΟΦΟΡΟΙ</t>
  </si>
  <si>
    <t>ΚΑΡΤΑ ΚΥΚΛΑΔΙΚΟ ΜΑΡΜΑΡΙΝΟ ΒΙΟΛΟΣΧΗΜΟ ΕΙΔΩΛΙΟ. ΣΥΝΘΕΣΗ</t>
  </si>
  <si>
    <t>ΚΑΡΤΑ ΚΕΦΑΛΙ ΑΠΟ ΑΓΑΛΜΑ ΚΟΡΗΣ ΤΗΣ ΦΡΑΣΙΚΛΕΙΑΣ</t>
  </si>
  <si>
    <t>ΚΑΡΤΑ ΧΑΛΚΙΝΟ ΑΓΑΛΜΑ ΗΝΙΟΧΟΥ. 
ΣΥΝΘΕΣΗ ΜΕ ΑΛΟΓΑ ΤΕΘΡΙΠΠΟΥ</t>
  </si>
  <si>
    <t>ΚΑΡΤΑ Ο ΜΑΡΜΑΡΙΝΟΣ ΟΜΦΑΛΟΣ 
(ΚΕΝΤΡΟ ΤΟΥ ΚΟΣΜΟΥ) ΛΕΠΤΟΜΕΡΕΙΑ</t>
  </si>
  <si>
    <t>ΚΑΡΤΑ ΓΙΓΑΝΤΟΜΑΧΙΑ (ΛΕΠΤΟΜΕΡΕΙΑ). 
ΒΟΡΕΙΑ ΖΩΦΟΡΟΣ ΤΟΥ ΘΗΣΑΥΡΟΥ ΤΩΝ ΣΙΦΝΙΩΝ</t>
  </si>
  <si>
    <t>ΚΑΡΤΑ ΓΙΓΑΝΤΟΜΑΧΙΑ (ΛΕΠΤΟΜΕΡΕΙΑ) 
ΒΟΡΕΙΑ ΖΩΦΟΡΟΣ ΤΩΝ ΣΙΦΝΙΩΝ</t>
  </si>
  <si>
    <t>ΚΑΡΤΑ Ο ΚΟΡΜΟΣ ΤΟΥ ΔΙΑ.ΑΝΑΤΟΛΙΚΟ ΑΕΤΩΜΑ ΤΟΥ ΝΑΟΥ ΤΟΥ ΔΙΑ</t>
  </si>
  <si>
    <t>ΚΑΡΤΑ ΛΑΠΙΘΙΔΑ. ΔΥΤΙΚΟ ΑΕΤΩΜΑ ΤΟΥ ΝΑΟΥ</t>
  </si>
  <si>
    <t>ΚΑΡΤΑ ΑΡΧΑΙΑ ΟΛΥΜΠΙΑ. Η ΠΑΛΑΙΣΤΡΑ</t>
  </si>
  <si>
    <t>ΚΑΡΤΑ ΑΤΛΑΣ (ΛΕΠΤΟΜΕΡΕΙΑ) ΑΝΑΤΟΛΙΚΗ ΜΕΤΟΠΗ ΑΠΟ ΤΟ ΝΑΟ ΤΟΥ ΔΙΑ</t>
  </si>
  <si>
    <t>ΚΑΡΤΑ ΓΥΝΑΙΚΕΙΟ ΜΥΚΗΝΑΪΚΟ ΕΙΔΩΛΙΟ</t>
  </si>
  <si>
    <t>ΚΑΡΤΑ ΗΡΑΚΛΗΣ, ΑΤΛΑΣ, ΑΘΗΝΑ ΚΑΙ ΤΑ ΜΗΛΑ ΤΩΝ ΕΣΠΕΡΙΔΩΝ</t>
  </si>
  <si>
    <t>ΚΑΡΤΑ ΚΡΑΝΗ. ΣΥΝΘΕΣΗ</t>
  </si>
  <si>
    <t>ΚΑΡΤΑ ΧΡΥΣΟ ΠΕΡΙΑΠΤΟ</t>
  </si>
  <si>
    <t>ΚΑΡΤΑ ΜΙΝΩΙΚΗ ΠΡΟΧΟΥΣ ΚΑΜΑΡΑΪΚΟΥ ΡΥΘΜΟΥ</t>
  </si>
  <si>
    <t>ΚΑΡΤΑ "Ο ΔΙΣΚΟΣ ΤΗΣ ΦΑΙΣΤΟΥ". (ΛΕΠΤΟΜΕΡΕΙΑ)</t>
  </si>
  <si>
    <t>ΚΑΡΤΑ ΜΙΝΩΪΚΟΣ ΚΡΑΤΗΡΑΣ ΚΑΜΑΡΑΪΚΟΥ ΡΥΘΜΟΥ</t>
  </si>
  <si>
    <t>ΚΑΡΤΑ "Ο ΠΡΙΓΚΗΠΑΣ ΜΕ ΤΑ ΚΡΙΝΑ". 
ΤΟΙΧΟΓΡΑΦΙΑ ΑΠΟ ΤΗΝ ΚΝΩΣΟ</t>
  </si>
  <si>
    <t>ΚΑΡΤΑ ΕΙΔΩΛΙΟ ΘΕΑΣ ΜΕ ΥΨΩΜΕΝΑ ΤΑ ΧΕΡΙΑ. ΣΥΝΘΕΣΗ</t>
  </si>
  <si>
    <t>ΚΑΡΤΑ ΜΙΝΩΪΚΟΙ ΔΙΠΛΟΙ ΧΡΥΣΟΙ ΠΕΛΕΚΕΙΣ.ΣΥΝΘΕΣΗ</t>
  </si>
  <si>
    <t>ΚΑΡΤΑ ΜΙΝΩΙΚΟ ΚΑΛΑΘΟΣΧΗΜΟ ΑΓΓΕΙΟ.ΣΥΝΘΕΣΗ</t>
  </si>
  <si>
    <t>ΚΑΡΤΑ ΖΩΟΜΟΡΦΑ ΜΥΚΗΝΑΪΚΑ ΕΙΔΩΛΙΑ</t>
  </si>
  <si>
    <t>ΚΑΡΤΑ ΧΡΥΣΗ ΠΡΟΣΩΠΙΔΑ ΤΟΥ "ΑΓΑΜΕΜΝΟΝΑ" ΣΥΝΘΕΣΗ</t>
  </si>
  <si>
    <t>ΚΑΡΤΑ ΜΥΚΗΝΑΪΚΟ ΕΙΔΩΛΙΟ ΤΑΥΡΟΥ. ΣΥΝΘΕΣΗ</t>
  </si>
  <si>
    <t>ΚΑΡΤΑ ΓΥΝΑΙΚΕΙΑ ΜΥΚΗΝΑΪΚΑ ΕΙΔΩΛΙΑ .ΣΥΝΘΕΣΗ</t>
  </si>
  <si>
    <t>ΗΡΙΔΑΝΟΣ</t>
  </si>
  <si>
    <t>Εκδόσεις</t>
  </si>
  <si>
    <t>Οδηγοί Μουσείων / Αρχαιολογικών Χώρων</t>
  </si>
  <si>
    <t>Ελληνικό</t>
  </si>
  <si>
    <t>Αγγλικό</t>
  </si>
  <si>
    <t>ΤΑ ΕΡΓΑ ΣΤΗΝ ΑΘΗΝΑΙΚΗ ΑΚΡΟΠΟΛΗ</t>
  </si>
  <si>
    <t>ΙΣΤΟΡΙΚΟΣ ΧΑΡΤΗΣ ΤΗΣ ΑΘΗΝΑΣ</t>
  </si>
  <si>
    <t>Χάρτες</t>
  </si>
  <si>
    <t>Γερμανικό</t>
  </si>
  <si>
    <t>ΤΟ ΕΘΝΙΚΟ ΑΡΧΑΙΟΛΟΓΙΚΟ ΜΟΥΣΕΙΟ</t>
  </si>
  <si>
    <t>ΟΙ ΟΛΥΜΠΙΑΚΟΙ ΑΓΩΝΕΣ ΣΤΗΝ ΑΡΧΑΙΑ ΕΛΛΑΔΑ</t>
  </si>
  <si>
    <t>Ολυμπιακοί Αγώνες</t>
  </si>
  <si>
    <t>MOUSEPAD ΣΥΝΘΕΣΗ ΣΥΜΒΟΛΩΝ ΑΠΟ ΤΟΝ "ΔΙΣΚΟ ΤΗΣ ΦΑΙΣΤΟΥ"</t>
  </si>
  <si>
    <t>Είδη Γραφείου &amp; Διάφορα</t>
  </si>
  <si>
    <t>Mousepad</t>
  </si>
  <si>
    <t>ΕΠΙΣΤΟΛΟΧΑΡΤΑ Η ΑΝΟΙΞΗ</t>
  </si>
  <si>
    <t>Σετ Αλληλογραφίας</t>
  </si>
  <si>
    <t>ΕΠΙΣΤΟΛΟΧΑΡΤΑ ΓΑΛΑΖΙΟ ΠΟΥΛΙ</t>
  </si>
  <si>
    <t>ΕΠΙΣΤΟΛΟΧΑΡΤΑ ΘΑΛΑΣΣΙΟ ΤΟΠΙΟ ΜΕ ΨΑΡΙΑ</t>
  </si>
  <si>
    <t>ΑΦΙΣΑ "ΣΚΗΝΕΣ ΚΥΝΗΓΙΟΥ"</t>
  </si>
  <si>
    <t>ΑΦΙΣΑ "ΝΗΟΠΟΜΠΗ"</t>
  </si>
  <si>
    <t>ΑΦΙΣΑ "Ο ΠΡΙΓΚΗΠΑΣ ΜΕ ΤΑ ΚΡΙΝΑ"</t>
  </si>
  <si>
    <t>Μεταξωτυπία "Πυγμάχοι"</t>
  </si>
  <si>
    <t>Μεταξοτυπία</t>
  </si>
  <si>
    <t>Μεταξωτυπία "Περιστέρι"</t>
  </si>
  <si>
    <t>Μεταξωτυπία "Λουλούδια"</t>
  </si>
  <si>
    <t>ΠΡΕΣ ΠΑΠΙΕ ΟΠΤΙΚΟ ΚΡΥΣΤΑΛΛΟ "ΠΟΣΕΙΔΩΝΑΣ"</t>
  </si>
  <si>
    <t>Πρες Παπιέ</t>
  </si>
  <si>
    <t>ΠΡΕΣ ΠΑΠΙΕ ΟΠΤΙΚΟ ΚΡΥΣΤΑΛΛΟ "ΠΛΟΙΟ"</t>
  </si>
  <si>
    <t>ΟΣΤΡΑΚΟ ΑΝΟΙΞΗ</t>
  </si>
  <si>
    <t>Κεραμικές Εφαρμογές</t>
  </si>
  <si>
    <t>ΟΣΤΡΑΚΟ ΚΡΟΚΟΣΥΛΛΕΚΤΡΙΕΣ</t>
  </si>
  <si>
    <t>ΜΑΓΝΗΤΗΣ ΧΑΡΤΙΝΟΣ "ΔΙΣΚΟΣ ΦΑΙΣΤΟΥ" ΠΗΛΙΝΟΣ</t>
  </si>
  <si>
    <t>Παιχνίδια</t>
  </si>
  <si>
    <t>Μαγνήτης</t>
  </si>
  <si>
    <t>ΜΑΓΝΗΤΗΣ ΧΑΡΤΙΝΟΣ ΔΙΣΚΟΣ ΚΟΚΚΙΝΟΣ</t>
  </si>
  <si>
    <t>ΤΣΑΝΤΑ ΔΙΑΦΑΝΗΣ ΠΑΡΘΕΝΩΝΑΣ</t>
  </si>
  <si>
    <t>Αξεσουάρ</t>
  </si>
  <si>
    <t>Τσάντα</t>
  </si>
  <si>
    <t>ΜΟΛΥΒΙ ΑΚΡΟΠΟΛΗ ΡΟΖ</t>
  </si>
  <si>
    <t>Μολύβια</t>
  </si>
  <si>
    <t>ΜΟΛΥΒΙ ΑΚΡ ΠΟΡΤΟΚΑΛΙ</t>
  </si>
  <si>
    <t>ΜΟΛΥΒΙ ΑΚΡΟΠΟΛΗ ΜΠΛΕ</t>
  </si>
  <si>
    <t>ΠΡΕΣ ΠΑΠΙΕ ΟΠΤΙΚΟ ΚΡΥΣΤΑΛΛΟ ΑΛΕΞΑΝΔΡΟΣ ΜΕ  ΒΑΣΗ</t>
  </si>
  <si>
    <t>ΑΛΜΠΟΥΜ ΚΑΡΤ ΕΠΙΔ ΜΥΚΗΝΕΣ</t>
  </si>
  <si>
    <t>Άλμπουμ Καρτών</t>
  </si>
  <si>
    <t>ΑΛΜΠΟΥΜ ΑΦΙΣΩΝ ΧΩΡΟΙ</t>
  </si>
  <si>
    <t>Άλμπουμ Αφισών</t>
  </si>
  <si>
    <t>ΚΑΡΤΑ ΤΟΙΧΟΓΡΑΦΙΑ ΜΕ ΑΣΠΙΔΕΣ ΜΥΚΗΝΩΝ</t>
  </si>
  <si>
    <t>ΚΑΡΤΑ ΑΤΤΙΚΗ ΛΗΚΥΘΟΣ</t>
  </si>
  <si>
    <t>ΚΑΡΤΑ ΣΤΗΛΗ ΑΡΙΣΤΙΩΝΑ</t>
  </si>
  <si>
    <t>ΚΑΡΤΑ ΚΕΦΑΛΗ ΣΦΙΓΓΑΣ</t>
  </si>
  <si>
    <t>ΚΑΡΤΑ ΝΑΟΣ ΑΘΗΝΑΣ</t>
  </si>
  <si>
    <t>ΚΑΡΤΑ ΚΑΡΥΑΤΙΔΕΣ</t>
  </si>
  <si>
    <t>ΚΑΡΤΑ ΜΟΣΧΟΦΟΡΟΣ</t>
  </si>
  <si>
    <t>ΚΑΡΤΑ ΠΡΟΠΥΛΑΙΑ</t>
  </si>
  <si>
    <t>ΚΑΡΤΑ ΕΦΗΒΟΣ ΚΡΙΤΙΟΥ</t>
  </si>
  <si>
    <t>ΚΑΡΤΑ ΠΑΡΘΕΝΩΝΑΣ</t>
  </si>
  <si>
    <t>ΠΟΡΤ ΚΛΕ ΑΝΑΚ.ΑΛΟΥΜΙΝΙΟ ΧΕΛΙΔΟΝΙ</t>
  </si>
  <si>
    <t>Πορτ Κλε</t>
  </si>
  <si>
    <t>ΠΟΡΤ ΚΛΕ ΑΝΑΚ.ΑΛΟΥΜΙΝΙΟ ΠΑΠΙΑ</t>
  </si>
  <si>
    <t>ΠΑΣΠΑΡΤΟΥ ΑΦΙΣΑ ΤΖΟΚΕΥ</t>
  </si>
  <si>
    <t>Αφίσα με Πασπαρτού</t>
  </si>
  <si>
    <t>ΠΑΣΠΑΡΤΟΥ ΠΑΡΘΕΝΩΝΑΣ</t>
  </si>
  <si>
    <t>MOUSEPAD ΣΥΝΘΕΣΗ KATAΣΤΗΜΑΤΩΝ</t>
  </si>
  <si>
    <t>ΜΑΓΝΗΤΗΣ ΜΥΚΗΝΑΙΑ</t>
  </si>
  <si>
    <t>ΑΦΙΣΑ TZOKEΥ ΑΡΤΕΜΙΣΙΟΥ</t>
  </si>
  <si>
    <t>ΑΦΙΣΑ ΠΡΙΓΚΗΠΑΣ</t>
  </si>
  <si>
    <t>ΑΦΙΣΑ ΠΑΡΙΖΙΑΝΑ</t>
  </si>
  <si>
    <t>ΑΦΙΣΑ ΗΝΙΟΧΟΣ</t>
  </si>
  <si>
    <t>ΑΦΙΣΑ ΠΑΣΠΑΡ ΠΑΡΘΕΝΩΝΑΣ</t>
  </si>
  <si>
    <t>ΑΦΙΣΑ ΠΑΣΠΑΡ ΚΑΡΥΑΤΙΔΕΣ</t>
  </si>
  <si>
    <t>AΦΙΣΑ FABIANO ΠΛΟΥΤΩΝ ΠΕΡΣΕΦΟΝΗ</t>
  </si>
  <si>
    <t>Αφίσα Fabiano</t>
  </si>
  <si>
    <t>ΕΛΛΑΔΑ</t>
  </si>
  <si>
    <t>Τουριστικός Οδηγός</t>
  </si>
  <si>
    <t>Γαλλικό</t>
  </si>
  <si>
    <t>Ουγγρικό</t>
  </si>
  <si>
    <t>Ρώσικο</t>
  </si>
  <si>
    <t>Ολλανδικό</t>
  </si>
  <si>
    <t>ΕΠΙΦΑΝΕΙΣ ΑΡΧΑΙΟΙ ΑΝΔΡΕΣ</t>
  </si>
  <si>
    <t>Ευρύτερου Ενδιαφέροντος</t>
  </si>
  <si>
    <t>ΕΛΛΗΝΙΚΗ ΜΑΓΕΙΡΙΚΗ</t>
  </si>
  <si>
    <t>Ιταλικό</t>
  </si>
  <si>
    <t>Ισπανικό</t>
  </si>
  <si>
    <t>Πολωνέζικο</t>
  </si>
  <si>
    <t>Σουηδικό</t>
  </si>
  <si>
    <t>ΑΝΑΓΛ ΚΑΡΤΑ ΠΟΣΕΙΔΩΝΑΣ</t>
  </si>
  <si>
    <t>Ανάγλυφη Κάρτα</t>
  </si>
  <si>
    <t>ΑΝΑΓΛ ΚΑΡΤΑ ΖΩΦΟΡΟΣ</t>
  </si>
  <si>
    <t>ΑΓΓΕΙΟ ΚΥΛΙΚΑΣ</t>
  </si>
  <si>
    <t>ΑΓΓΕΙΟ ΣΚΥΦΟΣ</t>
  </si>
  <si>
    <t>ΑΓΓΕΙΟ ΑΡΥΒΑΛΛΟΣ</t>
  </si>
  <si>
    <t>ΑΓΓΕΙΟ ΑΜΦΟΡΕΑΣ</t>
  </si>
  <si>
    <t>ΑΓΓΕΙΟ ΟΞΥΠΥΘΜΕΝΟΣ ΑΜΦΟΡΕΑΣ</t>
  </si>
  <si>
    <t>ΑΓΓΕΙΟ ΠΥΞΙΔΑ</t>
  </si>
  <si>
    <t>ΒΑΣΗ ΣΚΕΤΗ</t>
  </si>
  <si>
    <t>ΟΣΤΡΑΚΟ ΚΟΥΚΟΥΒΑΓΙΑ</t>
  </si>
  <si>
    <t>ΟΣΤΡΑΚΟ ΤΡΙΗΡΗΣ</t>
  </si>
  <si>
    <t>Παρθενώνας Μαύρο Ασπρο</t>
  </si>
  <si>
    <t>Σουπλά &amp; Σουβερ σετ</t>
  </si>
  <si>
    <t>Θέατρο Επιδαύρου</t>
  </si>
  <si>
    <t>Αστέρι Βεργίνας</t>
  </si>
  <si>
    <t>Ίππος</t>
  </si>
  <si>
    <t>Λύρα</t>
  </si>
  <si>
    <t>Ταύρος Μαύρο Κόκκινο</t>
  </si>
  <si>
    <t>Ταύρος Μπλε</t>
  </si>
  <si>
    <t>Τριήρης</t>
  </si>
  <si>
    <t>Έρωτας Με Φτερά</t>
  </si>
  <si>
    <t>Καρυάτιδες</t>
  </si>
  <si>
    <t>Κεφαλές Καρυάτιδες;</t>
  </si>
  <si>
    <t>ΜίαΚεφαλή Καρυάτιδας</t>
  </si>
  <si>
    <t>Χρυσό Κύπελο</t>
  </si>
  <si>
    <t>ΑΡΧΑΙΟΙ ΤΟΠΟΙ</t>
  </si>
  <si>
    <t>Λεύκωμα</t>
  </si>
  <si>
    <t>Ελληνοαγγλικό</t>
  </si>
  <si>
    <t>ΔΙΑΦΑΝΗΣ ΕΛΑΣΤΙΚΟΣ ΠΛΑΣΤΙΚΟΣ ΧΑΡΑΚΑΣ ΜΕ ΕΚΤΥΠΩΣΗ (30 ΕΚ)</t>
  </si>
  <si>
    <t>Χάρακας</t>
  </si>
  <si>
    <t>ΑΝΑΓΛΥΦΗ ΚΑΡΤΑ ΕΦΗΒΟΣ ΜΑΡΑΘΩΝΑ</t>
  </si>
  <si>
    <t>ΑΝΑΓΛΥΦΗ ΚΑΡΤΑ ΔΙΣΚΟΣ ΦΑΙΣΤΟΥ</t>
  </si>
  <si>
    <t>ΑΝΑΓΛΥΦΗ ΚΑΡΤΑ ΔΕΚΑΕΞΑΚΤΙΝΟ ΑΣΤΕΡΙ</t>
  </si>
  <si>
    <t>ΑΝΑΓΛΥΦΗ ΚΑΡΤΑ ΝΟΜΙΣΜΑ ΜΕ ΑΛΕΞΑΝΔΡΟ</t>
  </si>
  <si>
    <t>ΑΝΑΓΛΥΦΗ ΚΑΡΤΑ ΧΡΥΣΟ ΓΟΡΓΟΝΕΙΟ</t>
  </si>
  <si>
    <t>ΑΝΑΓΛΥΦΗ ΚΑΡΤΑ ΚΟΡΗ</t>
  </si>
  <si>
    <t>ΑΝΑΓΛΥΦΗ ΚΑΡΤΑ ΠΑΡΘΕΝΩΝΑΣ</t>
  </si>
  <si>
    <t>Η ΔΗΜΙΟΥΡΓΙΚΗ ΟΡΑΣΗ</t>
  </si>
  <si>
    <t>Αρχαιολογικός Οδηγός</t>
  </si>
  <si>
    <t>ΠΡΟΣΩΠΑ ΤΗΣ ΑΚΡΟΠΟΛΗΣ</t>
  </si>
  <si>
    <t>ΕΓΡΑΨΑΝ ΓΙΑ ΤΗΝ ΑΚΡΟΠΟΛΗ 1850-1950</t>
  </si>
  <si>
    <t>ΑΡΧΑΙΑ ΑΓΟΡΑ ΤΗΣ ΑΘΗΝΑΣ - ΑΡΕΙΟΣ ΠΑΓΟΣ</t>
  </si>
  <si>
    <t>ΜΟΥΣΕΙΟ ΑΡΧΑΙΑΣ ΑΓΟΡΑΣ</t>
  </si>
  <si>
    <t>ΡΩΜΑΙΚΗ ΑΓΟΡΑ - ΒΙΒΛΙΟΘΗΚΗ ΑΝΔΡΙΑΝΟΥ</t>
  </si>
  <si>
    <t>ΒΟΡΕΙΑ ΑΝΑΤΟΛΙΚΗ ΚΑΙ ΔΥΤΙΚΗ ΚΛΙΤΥΣ ΑΚΡΟΠΟΛΕΩΣ</t>
  </si>
  <si>
    <t>ΛΟΦΟΙ ΦΙΛΟΠΑΠΟΥ -ΠΝΥΚΑΣ ΝΥΜΦΩΝ</t>
  </si>
  <si>
    <t>ΑΘΗΝΑ</t>
  </si>
  <si>
    <t xml:space="preserve">ΚΑΡΥΑΤΙΔΑ ΓΡΑΜΜΙΚΟ 15 Χ15Χ2 Α ΟΨΗ </t>
  </si>
  <si>
    <t>Plexiglass</t>
  </si>
  <si>
    <t xml:space="preserve">ΚΑΡΥΑΤΙΔΕΣ 12 ΠΡΟΣΩΠΑ 13ΕΚ.X18ΕΚ. X2ΕΚ ΑΒ ΟΨΗ </t>
  </si>
  <si>
    <t xml:space="preserve">ΠΑΡΘΕΝΩΝΑΣ ΜΠΛΕ-ΜΑΥΡΟ </t>
  </si>
  <si>
    <t xml:space="preserve">ΚΝΩΣΟΣ ΡΥΤΟ ΤΑΥΡΟΥ ΜΑΥΡΟ ΚΟΚ ΚΙΤΡ 
11Χ16 ΑΒ ΟΨΗ </t>
  </si>
  <si>
    <t xml:space="preserve">ΚΝΩΣΟΣ ΡΥΤΟ ΤΑΥΡΟΥ  ΜΑΥΡΟ ΜΠΛΕ ΠΟΡΤ.  11ΕΚ.X16ΕΚ.X2ΕΚ Α ΟΨΗ </t>
  </si>
  <si>
    <t>ΙΠΠΟΣ   11Χ16 Α ΟΨΗ .</t>
  </si>
  <si>
    <t>ΚΝΩΣΟΣ ΤΑΥΡΟΣ 11Χ16 Α ΟΨΗ</t>
  </si>
  <si>
    <t>ΒΑΣΗ  ΜΟΝΗ</t>
  </si>
  <si>
    <t>ΟΣΤΡΑΚΟ ΛΙΟΝΤΑΡΙΑ ΔΗΛΟΥ</t>
  </si>
  <si>
    <t>ΟΣΤΡΑΚΟ ΑΠΟΛΛΩΝ ΔΗΛΟΥ</t>
  </si>
  <si>
    <t>ΑΓΓΕΛΟΣ ΜΙΚΡΟΣ ΑΣΗΜΙ</t>
  </si>
  <si>
    <t xml:space="preserve">Γλυπτό </t>
  </si>
  <si>
    <t xml:space="preserve">ΓΟΥΡΙ 2010 ΚΛΑΔΙ ΕΛΙΑΣ </t>
  </si>
  <si>
    <t>Γούρι</t>
  </si>
  <si>
    <t>SMART ART IN GREECE</t>
  </si>
  <si>
    <t>ΠΕΡΙΑΠΤΟ ΔΗΛΟΣ 9090/0110/10</t>
  </si>
  <si>
    <t>Ασήμι</t>
  </si>
  <si>
    <t>Σουβέρ</t>
  </si>
  <si>
    <t>ΕΘΝΙΚΟ ΑΡΧΑΙΟΛΟΓΙΚΟ ΜΟΥΣΕΙΟ</t>
  </si>
  <si>
    <t xml:space="preserve">ΓΕΝΙΚΗ ΑΞΙΑ ΕΜΠΟΡΕΥΜΑΤΩΝ ΠΩΛΗΤΗΡΙΩΝ </t>
  </si>
  <si>
    <t>ΠΡΟΪΟΝΤΑ ΑΝΑ ΚΩΔΙΚΟ ΕΙΔΟΥΣ ΜΕ ΛΟΓΟΤΥΠΟ  ΤΟΥ ΝΕΟΥ  ΜΟΥΣΕΙΟΥ ΑΚΡΟΠΟΛΗΣ</t>
  </si>
  <si>
    <t>ΠΕΡΙΓΡΑΦΗ ΚΑΙ ΧΑΡΑΚΤΗΡΙΣΤΑ ΑΝ ΕΙΔΟΣ</t>
  </si>
  <si>
    <t>ΝΜΑ ΤΣΑΝΤΑ ΘΑΛΑΣΣΗΣ ΑΓΑΛΜΑΤΑ</t>
  </si>
  <si>
    <t>ΕΦΑΡΜΟΓΕΣ</t>
  </si>
  <si>
    <t>ΑΞΕΣΟΥΑΡ</t>
  </si>
  <si>
    <t>ΤΣΑΝΤΑ</t>
  </si>
  <si>
    <t>ΝΜΑ ΤΣΑΝΤΑ ΘΑΛΑΣΣΗΣ ΦΙΔΙΑ</t>
  </si>
  <si>
    <t>ΝΜΑ ΤΣΑΝΤΑ ΘΑΛΑΣΣΗΣ ΣΚΟΥΛΑΡΙΚΙ</t>
  </si>
  <si>
    <t>ΝΜΑ ΣΕΛΙΔΟΔΕΙΚΤΕΣ MΕ ΕΚΘΕΜΑΤΑ</t>
  </si>
  <si>
    <t>ΕΙΔΗ ΧΑΡΤΙΟΥ</t>
  </si>
  <si>
    <t>ΣΕΛΙΔΟΔΕΙΚΤΕΣ</t>
  </si>
  <si>
    <t>ΝΜΑ ΤΣΑΝΤΑΚΙ ΓΙΑ ΜΑΓΙΟ ΑΓΑΛΜΑΤΑ</t>
  </si>
  <si>
    <t>ΝΜΑ ΤΣΑΝΤΑΚΙ ΓΙΑ ΜΑΓΙΟ ΦΙΔΙΑ</t>
  </si>
  <si>
    <t>ΝΜΑ ΤΣΑΝΤΑΚΙ ΓΙΑ ΜΑΓΙΟ ΣΚΟΥΛΑΡΙΚΙ</t>
  </si>
  <si>
    <t>ΝΜΑ ΤΣΑΝΤΑΚΙ ΜΙΚΡΟ</t>
  </si>
  <si>
    <t>ΝΜΑ MOUSEPADS ΠΑΙΔΙΚΑ ΦΙΔΙ ΝΟ5</t>
  </si>
  <si>
    <t>ΕΙΔΗ ΓΡΑΦΕΙΟΥ</t>
  </si>
  <si>
    <t>ΜΟUSEPAD</t>
  </si>
  <si>
    <t>ΝΜΑ ΣΗΜΕΙΩΜΑΤΑΡΙΟ 21x15 ΚΑΤΟΨΗ</t>
  </si>
  <si>
    <t>ΣΗΜΕΙΩΜΑΤΑΡΙΟ ΜΕΓΑΛΟ</t>
  </si>
  <si>
    <t>ΝΜΑ ΣΗΜΕΙΩΜΑΤΑΡΙΟ 21x15 ΑΛΟΓΟ</t>
  </si>
  <si>
    <t>ΝΜΑ ΣΗΜΕΙΩΜΑΤΑΡΙΟ 21x15  ΧΕΡΙ ΚΟΡΗΣ</t>
  </si>
  <si>
    <t>ΝΜΑ ΣΗΜΕΙΩΜΑΤΑΡΙΟ 21x15 ΑΚΡΟΚΕΡΑΜΟ</t>
  </si>
  <si>
    <t>ΝΜΑ ΦΑΚΕΛΟΣ Α4 ΑΛΟΓΟ</t>
  </si>
  <si>
    <t>ΦΑΚΕΛΟΣ</t>
  </si>
  <si>
    <t>ΝΜΑ ΦΑΚΕΛΟΣ Α4 ΚΟΤΑ</t>
  </si>
  <si>
    <t>ΝΜΑ ΦΑΚΕΛΟΣ Α4 ΚΑΤΟΨΗ</t>
  </si>
  <si>
    <t>ΝΜΑ ΦΑΚΕΛΟΣ Α4 ΚΑΡΥΑΤΙΔΕΣ</t>
  </si>
  <si>
    <t>ΝΜΑ ΦΑΚΕΛΟΣ Α4 ΠΑΙΔΙΚΟ</t>
  </si>
  <si>
    <t>ΝΜΑ PAREO ΑΓΑΛΜΑΤΑ</t>
  </si>
  <si>
    <t>ΠΑΡΕΟ</t>
  </si>
  <si>
    <t>ΝΜΑ ΧΑΡΑΚΑΣ ΠΑΙΔΙΚΟΣ</t>
  </si>
  <si>
    <t>ΧΑΡΑΚΑΣ</t>
  </si>
  <si>
    <t>ΝΜΑ ΠΑΙΔΙΚΟ ΜΠΛΟΚ ΖΩΓΡΑΦΙΚΗΣ</t>
  </si>
  <si>
    <t>ΠΑΙΧΝΙΔΙΑ</t>
  </si>
  <si>
    <t>ΣΗΜΕΙΩΜΑΤΑΡΙΟ</t>
  </si>
  <si>
    <t>ΝΜΑ ΑΣΗΜΕΝΙΟΣ ΔΙΣΚΟΣ</t>
  </si>
  <si>
    <t>ΔΙΣΚΟΣ</t>
  </si>
  <si>
    <t>ΝΜΑ ΚΟΝΤΟΜΑΝΙΚΟ ACROPOLIS KIDS ΚΟΚΚΙΝΟ-ΜΑΥΡΟ</t>
  </si>
  <si>
    <t>ΚΟΝΤΟΜΑΝΙΚΟ</t>
  </si>
  <si>
    <t>ΝΜΑ ΚΟΝΤΟΜΑΝΙΚΟ ΖΩΑ ΠΙΣΩ ΜΠΡΟΣΤΑ ΛΕΥΚΟ ΝΟ12</t>
  </si>
  <si>
    <t>ΝΜΑ ΦΩΤΟΦΟΡΟΣ ΓΡΑΜΜΑΤΑ</t>
  </si>
  <si>
    <t>ΦΩΤΟΦΟΡΟΣ</t>
  </si>
  <si>
    <t>ΝΜΑ ΚΑΡΦΙΤΣΑ ΘΡΑΥΣΜΑ</t>
  </si>
  <si>
    <t>ΚΟΣΜΗΜΑΤΑ</t>
  </si>
  <si>
    <t>ΑΣΗΜΙ</t>
  </si>
  <si>
    <t>ΚΑΡΦΙΤΣΑ</t>
  </si>
  <si>
    <t>ΝΜΑ ΣΚΟΥΛΑΡΙΚΙΑ ΘΡΑΥΣΜΑΤΑ ΜΙΚΡΑ</t>
  </si>
  <si>
    <t>ΣΚΟΥΛΑΡΙΚΙΑ</t>
  </si>
  <si>
    <t>ΝΜΑ ΚΟΛΩΝΕΣ ΔΑΧΤΥΛΙΔΙ ΜΑΚΡΟΣΤΕΝΟ</t>
  </si>
  <si>
    <t>ΔΑΧΤΥΛΙΔΙ</t>
  </si>
  <si>
    <t>ΝΜΑ ΚΟΛΩΝΕΣ ΣΚΟΥΛΑΡΙΚΙΑ ΤΕΤΡΑΓΩΝΑ</t>
  </si>
  <si>
    <t>ΝΜΑ ΚΟΛΩΝΕΣ ΚΑΡΦΙΤΣΑ</t>
  </si>
  <si>
    <t>ΝΜΑ ΜΕΤΑΞΩΤΑ ΒΡΑΧΙΟΛΙΑ ΑΚΡΟΚΕΡΑΜΟ</t>
  </si>
  <si>
    <t>ΒΡΑΧΙΟΛΙ</t>
  </si>
  <si>
    <t>ΝΜΑ ΜΕΤΑΞΩΤΑ ΒΡΑΧΙΟΛΙΑ ΑΛΟΓΟ</t>
  </si>
  <si>
    <t>ΝΜΑ ΚΑΡΦΙΤΣΕΣ ΠΕΤΕΙΝΟΥ</t>
  </si>
  <si>
    <t>ΝΜΑ ΧΑΝΔΡΕΣ ΤΗΕΤΙS</t>
  </si>
  <si>
    <t>ΚΕΡΑΜΙΚΑ</t>
  </si>
  <si>
    <t>ΠΕΡΙΔΕΡΑΙΑ</t>
  </si>
  <si>
    <t>ΝΜΑ ΣΦΟΝΔΥΛΙΑ</t>
  </si>
  <si>
    <t>ΝΜΑ ΧΑΡΤΟΚΟΠΤΗΣ ΦΙΔΙ</t>
  </si>
  <si>
    <t xml:space="preserve">ΕΦΑΡΜΟΓΕΣ </t>
  </si>
  <si>
    <t>ΕΙΔΗ ΓΡΑΦΕΙΟΥ ΚΑΙ ΔΙΑΦΟΡΑ</t>
  </si>
  <si>
    <t>ΧΑΡΤΟΚΟΠΤΗΣ</t>
  </si>
  <si>
    <t>ΝΜΑ ΧΑΡΤΟΚΟΠΤΗΣ ΦΙΔΙ ΑΣΗΜΕΝΙΟΣ</t>
  </si>
  <si>
    <t>ΝΜΑ ΚΑΡΦΙΤΣΑ ΦΙΔΙ</t>
  </si>
  <si>
    <t>ΝΜΑ ΚΟΝΤΟΜΑΝΙΚΟ ΖΩΑ ΠΙΣΩ ΜΠΡΟΣΤΑ ΚΟΚΚΙΝΟ-ΜΑΥΡΟ ΝΟ13</t>
  </si>
  <si>
    <t>ΝΜΑ ΚΟΝΤΟΜΑΝΙΚΟ ACROPOLIS KIDS ΛΕΥΚΟ ΝΟ16</t>
  </si>
  <si>
    <t>ΝΜΑ ΚΑΡΦΙΤΣΕΣ ΦΙΔΙΟΥ</t>
  </si>
  <si>
    <t>ΝΜΑ ΚΑΡΦΙΤΣΕΣ ΡΟΔΙΟΥ</t>
  </si>
  <si>
    <t>ΝΜΑ Μεγάλες Στιγμές της Ελληνικής Αρχαιολογίας</t>
  </si>
  <si>
    <t>ΕΚΔΟΣΕΙΣ</t>
  </si>
  <si>
    <t>ΛΕΥΚΩΜΑ</t>
  </si>
  <si>
    <t>ΕΛΛΗΝΙΚΑ</t>
  </si>
  <si>
    <t>ΝΜΑ Πολεοδομική Εξέλιξις των Αθηνών-Από των προιστορικων  χρόνων μέχρι των αρχών του 19ου αιώνος</t>
  </si>
  <si>
    <t>ΝΜΑ Αθήνα - Ένα όραμα του κλασικισμού</t>
  </si>
  <si>
    <t>ΝΜΑ Ελλάδος Περιήγησης / Fred. Boissona</t>
  </si>
  <si>
    <t>ΝΜΑ Ελλάδα Διαδρομή Αιώνων</t>
  </si>
  <si>
    <t>ΕΛΛ/ΑΓΓ-ΔΙΓΛΩΣΣΟ</t>
  </si>
  <si>
    <t>ΝΜΑ Τα Γλυπτά του Παρθενώνα</t>
  </si>
  <si>
    <t>ΝΜΑ Το Αρχαιο Θέατρο του Διονύσου</t>
  </si>
  <si>
    <t>ΝΜΑ Εικόνες της Ελλάδας, Γή</t>
  </si>
  <si>
    <t>ΝΜΑ Η Ζωφόρος του Παρθενώνα</t>
  </si>
  <si>
    <t>ΑΓΓΛΙΚΑ</t>
  </si>
  <si>
    <t>ΝΜΑ Η Αθήνα κατά την Ρωμαική Εποχή, Σταύρος Βλίζος</t>
  </si>
  <si>
    <t>ΕΛΛ/ΑΓΓ/ΓΕΡ-ΤΡΙΓΛΩΣΣΟ</t>
  </si>
  <si>
    <t>ΝΜΑ Η Δημιουργική Φωτογραφία στην Αρχαιολογία</t>
  </si>
  <si>
    <t>ΝΜΑ Αθήνα 1839-1900, Φωτογραφικές Μαρτυρίες  / ΠΑΝΟΔΕΤΟ</t>
  </si>
  <si>
    <t>ΝΜΑ Αρχαία Ελληνική Γλυπτική - Αφιέρωμα στη μνήμη του γλύπτη Στέλιου Τριάντη</t>
  </si>
  <si>
    <t>ΕΛΛ/ΓΑΛ/ΓΕΡ/ΙΤΑΛ-ΤΕΤΡΑΓΛΩΣΣΟ</t>
  </si>
  <si>
    <t xml:space="preserve">ΝΜΑ ΔΑΧΤΥΛΙΔΙ ΘΡΑΥΣΜΑΤΑ ΜΕΣΑΙΟ </t>
  </si>
  <si>
    <t>ΝΜΑ Πρόσωπα της Ακρόπολης</t>
  </si>
  <si>
    <t>ΝΜΑ ΣΠΙΡΑΛ ΗΜΕΡΟΛΟΓΙΟ</t>
  </si>
  <si>
    <t>ΗΜΕΡΟΛΟΓΙΟ</t>
  </si>
  <si>
    <t>NMA ΝΟΜΙΣΜΑ ΟΡΕΙΧΑΛΚΟΣ ΜΙΚΡΟ</t>
  </si>
  <si>
    <t>ΝΟΜΙΣΜΑΤΑ</t>
  </si>
  <si>
    <t>ΝΜΑ ΕΣΑΡΠΑ ΣΚΟΥΡΟΧΡΩΜΗ</t>
  </si>
  <si>
    <t>ΜΑΝΤΗΛΙΑ</t>
  </si>
  <si>
    <t xml:space="preserve">ΝΜΑ ΕΣΑΡΠΑ ΑΝΟΙΧΤΟΧΡΩΜΗ </t>
  </si>
  <si>
    <t>ΝΜΑ ΔΙΠΤΥΧΟ ΠΑΙΔΙΚΟ ΒΙΒΛΙΑΡΑΚΙ</t>
  </si>
  <si>
    <t>ΕΝΤΥΠΟ</t>
  </si>
  <si>
    <t>ΠΑΙΔΙΚΕΣ ΕΚΔΟΣΕΙΣ</t>
  </si>
  <si>
    <t>ΝΜΑ ΚΛΕΙΔΟΘΗΚΗ ΜΟΥΣΕΙΟΥ</t>
  </si>
  <si>
    <t>ΚΛΕΙΔΟΘΗΚΗ</t>
  </si>
  <si>
    <t>ΝΜΑ ΠΡΕΣ-ΠΑΠΙΕ ΚΑΡΥΑΤΙΔΑ</t>
  </si>
  <si>
    <t>ΠΡΕΣ ΠΑΠΙΕ</t>
  </si>
  <si>
    <t>ΝΜΑ ΚΑΡΤΟΘΗΚΗ ΦΙΔΙΑ</t>
  </si>
  <si>
    <t>ΝΜΑ ΒΡΑΧΙΟΛΙ ΦΙΔΙΑ</t>
  </si>
  <si>
    <t>ΝΜΑ ΒΡΑΧΙΟΛΙ ΦΙΔΙΑ ΕΠΙΧΡΥΣΟ</t>
  </si>
  <si>
    <t>NMA ΔΙΠΤΥΧΟ ΠΑΙΔΙΚΟ ΒΙΒΛΙΑΡΑΚΙ ΝΤΥΣΙΜΟ</t>
  </si>
  <si>
    <t>ΝΜΑ ΣΚΟΥΛΑΡΙΚΙΑ ΠΛΑΣΤΙΚΟΠΟΙΗΜΕΝΑ ΣΦΟΝΔΥΛΙΑ ΜΙΚΡΑ</t>
  </si>
  <si>
    <t>ΣΚΟΥΛΑΡΙΚΙ</t>
  </si>
  <si>
    <t>ΝΜΑ ΣΚΟΥΛΑΡΙΚΙΑ ΠΛΑΣΤΙΚΟΠΟΙΗΜΕΝΑ ΣΦΟΝΔΥΛΙΑ ΜΕΣΑΙΑ</t>
  </si>
  <si>
    <t>ΝΜΑ ΣΚΟΥΛΑΡΙΚΙΑ ΠΛΑΣΤΙΚΟΠΟΙΗΜΕΝΑ ΣΦΟΝΔΥΛΙΑ ΜΕΓΑΛΑ</t>
  </si>
  <si>
    <t>ΝΜΑ ΚΑΡΦΙΤΣΑ ΖΩΦΟΡΟΣ</t>
  </si>
  <si>
    <t>ΝΜΑ ΚΑΡΦΙΤΣΑ ΣΦΟΝΔΥΛΙΑ</t>
  </si>
  <si>
    <t>ΝΜΑ ΒΡΑΧΙΟΛΙ ΣΦΟΝΔΥΛΙΑ</t>
  </si>
  <si>
    <t>ΝΜΑ ΒΡΑΧΙΟΛΟ ΖΩΦΟΡΟΣ</t>
  </si>
  <si>
    <t>ΝΜΑ ΚΡΕΜΑΣΤΟ ΣΦΟΝΔΥΛΙΑ ΚΟΝΤΟ</t>
  </si>
  <si>
    <t>ΚΡΕΜΑΣΤΟ</t>
  </si>
  <si>
    <t>ΝΜΑΚΡΕΜΑΣΤΟ ΖΩΦΟΡΟΣ</t>
  </si>
  <si>
    <t>ΝΜΑ ΚΡΕΜΑΣΤΟ ΣΦΟΝΔΥΛΙΑ ΜΑΚΡΥ</t>
  </si>
  <si>
    <t>ΝΜΑ ΠΑΝΤΑΤΙΦ ΘΕΜΑ 1</t>
  </si>
  <si>
    <t>ΚΟΛΙΕ</t>
  </si>
  <si>
    <t>ΝΜΑ ΠΑΝΤΑΤΙΦ ΘΕΜΑ 2</t>
  </si>
  <si>
    <t>ΝΜΑ ΠΑΝΤΑΤΙΦ ΘΕΜΑ3</t>
  </si>
  <si>
    <t xml:space="preserve">ΑΓΝΥΘΕΣ ΠΡΕΣ ΠΑΠΙΕ ΜΙΚΡΟ ΜΠΡΟΥΤΖΙΝΟ </t>
  </si>
  <si>
    <t>ΔΙΑΚΟΣΜΗΤΙΚΟ</t>
  </si>
  <si>
    <t xml:space="preserve">ΑΓΝΥΘΕΣ ΠΡΕΣ ΠΑΠΙΕ ΜΙΚΡΟ ΑΛΟΥΜΙΝΙΟ </t>
  </si>
  <si>
    <t xml:space="preserve">ΑΓΝΥΘΕΣ ΠΡΕΣ ΠΑΠΙΕ ΜΕΓΑΛΟ  ΜΠΡΟΥΝΤΖΙΝΟ </t>
  </si>
  <si>
    <t>ΝΜΑ ΧΕΡΙΑ ΚΟΥΔΟΥΝΙΣΤΡΑ ΜΕΓΑΛΗ ΜΠΡΟΥΝΤΖΙΝΗ</t>
  </si>
  <si>
    <t xml:space="preserve">ΚΟΥΔΟΥΝΙΣΤΡΑ  </t>
  </si>
  <si>
    <t>ΝΜΑ ΧΕΡΙΑ ΔΑΧΤΥΛΙΔΙ ΑΣΗΜΕΝΙΟ</t>
  </si>
  <si>
    <t>ΝΜΑ ΦΩΤΟΦΟΡΟΣ ΚΑΡΥΑΤΙΔΕΣ</t>
  </si>
  <si>
    <t>ΝΜΑ ΦΩΤΟΦΟΡΟΣ ΖΩΟΦΟΡΟΣ</t>
  </si>
  <si>
    <t xml:space="preserve">ΝΜΑ ΣΟΥΒΕΡ ΖΩΟΦΟΡΟΣ </t>
  </si>
  <si>
    <t>ΣΟΥΒΕΡ</t>
  </si>
  <si>
    <t>ΝΜΑ ΣΕΤ ΣΟΥΒΕΡ PVC ΑΡΧΑΙΚΗ</t>
  </si>
  <si>
    <t>ΝΜΑ ΣΟΥΠΛΑ PVC (set 2 soupla-2souver) ΑΚΡΟΚΕΡΑΜΟ</t>
  </si>
  <si>
    <t>ΣΟΥΠΛΑ</t>
  </si>
  <si>
    <t>ΝΜΑ ΣΟΥΠΛΑ PVC (set 2 soupla-2souver) ΑΛΟΓΟ</t>
  </si>
  <si>
    <t>ΕΡΕΤΡΙΑ, ΜΑΤΙΕΣ ΣΕ ΜΙΑ ΑΡΧΑΙΑ ΠΟΛΗ</t>
  </si>
  <si>
    <t>ΑΡΧΑΙΟΛΟΓΙΚΟΣ ΟΔΗΓΟΣ</t>
  </si>
  <si>
    <t>ΝΜΑ ΕΣΑΡΠΑ ΜΠΡΟΝΤΩ</t>
  </si>
  <si>
    <t xml:space="preserve">ΓΕΝΙΚΗ ΑΞΙΑ ΕΜΠΟΡΕΥΜΑΤΩΝ- ΜΟΥΣΕΙΟ ΑΚΡΟΠΟΛΗΣ </t>
  </si>
  <si>
    <t xml:space="preserve">ΓΕΝΙΚΟ ΣΥΝΟΛΟ ΕΜΠΟΡΕΥΜΑΤΩΝ </t>
  </si>
  <si>
    <t>ΕΚΔΟΤΙΚΟ ΑΠΟΘΕΜΑ</t>
  </si>
  <si>
    <t xml:space="preserve">ΤΙΤΛΟΣ ΕΚΔΟΣΗΣ </t>
  </si>
  <si>
    <t>ΑΡΙΘΜΟΣ ΑΝΤΙΤΥΠΩΝ</t>
  </si>
  <si>
    <t>ΧΩΡΟΣ ΑΠΟΘΗΚΕΥΣΗΣ</t>
  </si>
  <si>
    <t>ΣΗΜΕΡΙΝΗ ΑΞΙΑ ΤΕΜ ΠΡΟ ΦΠΑ</t>
  </si>
  <si>
    <t>"OUTLOOK"  ΔΙΓΛΩΣΣΟ   ( ΑΓΓΛΙΚΑ &amp; ΕΛΛΗΝΙΚΑ)</t>
  </si>
  <si>
    <t>ΑΠΟΘΗΚΗ ΕΛΛΗΝΙΚΟΥ</t>
  </si>
  <si>
    <t>"Ο ΤΑΥΡΟΣ ΣΤΟΝ ΜΕΣΟΓΕΙΑΚΟ ΧΩΡΟ" ΔΙΓΛΩΣΣΟ (ΑΓΓΛΙΚΑ &amp; ΕΛΛΗΝΙΚΑ)</t>
  </si>
  <si>
    <t>"ΠΕΡΙΠΛΟΥΣ"  ΔΙΓΛΩΣΣΟ     ( ΑΓΓΛΙΚΑ&amp; ΕΛΛΗΝΙΚΑ)</t>
  </si>
  <si>
    <t>" ΠΛΟΕΣ" ( ΛΕΥΚΩΜΑ ΕΛΛΗΝΙΚΑ- ΑΓΓΛΙΚΑ)</t>
  </si>
  <si>
    <t>"¨Η ΖΩΣΑ ΤΕΧΝΗ ΤΗΣ ΕΛΛΗΝΙΚΗΣ ΤΡΑΓΩΔΙΑΣ"</t>
  </si>
  <si>
    <t>" ΑΔΟΛΗ ΜΑΤΙΑ"   ( ΦΩΤΟΓΡΑΦΙΚΟ ΛΕΥΚΩΜΑ)</t>
  </si>
  <si>
    <t>"Η ΑΠΟΚΑΛΥΨΗ ΤΗΣ ΑΜΟΡΓΟΥ"</t>
  </si>
  <si>
    <t>"ΜΙΝΩΪΤΩΝ &amp; ΜΥΚΗΝΑΙΩΝ" ΔΙΓΛΩΣΣΟ (ΑΓΓΛΙΚΑ &amp; ΕΛΛΗΝΙΚΑ)</t>
  </si>
  <si>
    <t>" ΑΓΙΟΙ ΤΟΥ ΒΥΖΑΝΤΙΟΥ ΣΕ ΕΙΚΟΝΕΣ ΤΗΣ ΒΕΡΟΙΑΣ 13ος -14ος ΑΙΩΝΑΣ"</t>
  </si>
  <si>
    <t>ΣΑΧΤΟΥΡΗ 34Α ΘΕΣ/ΝΙΚΗ</t>
  </si>
  <si>
    <t>"ΧΑΝΙΑ ΚΑΙ ΚΑΡΑΒΑΝ ΣΑΡΑΓΙΑ ΣΤΟΝ ΕΛΛΑΔΙΚΟ ΧΩΡΟ ΚΑΙ ΣΤΑ ΒΑΛΚΑΝΙΑ"</t>
  </si>
  <si>
    <t>"ΝΕΟΙ ΔΗΜΙΟΥΡΓΟΙ ΤΩΝ ΒΑΛΚΑΝΙΩΝ"</t>
  </si>
  <si>
    <t>"ΤΕΧΝΗ ΜΕΤΑΝΑΣΤΕΥΣΗ ΚΑΙ ΟΥΤΟΠΙΑ-ΟΠΟΥ ΤΟΠΟΣ"</t>
  </si>
  <si>
    <t>"ΕΙΚΑΣΤΙΚΕΣ ΔΗΜΙΟΥΡΓΙΕΣ ΕΚΠΑΙΔΕΥΤΙΚΩΝ"</t>
  </si>
  <si>
    <t>" ΑΠΟΦΟΙΤΟΙ ΚΑΛΩΝ ΤΕΧΝΩΝ ΑΠΘ" 2003-2005</t>
  </si>
  <si>
    <t>"ΦΙΓΟΥΡΕΣ ΑΠΟ ΦΩΣ &amp; ΙΣΤΟΡΙΑ" ΔΙΓΛΩΣΣΟ (ΑΓΓΛΙΚΑ &amp; ΕΛΛΗΝΙΚΑ)</t>
  </si>
  <si>
    <t>ΕΦΗΜΕΡΕΣ ΚΑΤΑΣΚΕΥΕΣ No2</t>
  </si>
  <si>
    <t xml:space="preserve">ΕΦΗΜΕΡΕΣ ΚΑΤΑΣΚΕΥΕΣ No3 </t>
  </si>
  <si>
    <t>ΛΕΥΚΑΔΙΟΣ ΧΕΡΝ</t>
  </si>
  <si>
    <t>"ΤΟΠΟΙ ΠΟΛΙΤΙΣΜΟΥ"</t>
  </si>
  <si>
    <t>"ΑΝΤΙΣ ΓΙΑ ΟΝΕΙΡΟ" ΚΑΣΕΤΙΝΑ ΜΠΛΕ ΕΛΛΗΝΙΚΟ</t>
  </si>
  <si>
    <t>"WORKS BY GREEK COMPOSERS 19th-20th CENTURI" ΚΑΣΕΤΙΝΑ ΒΥΣΣΙΝΙ ΑΓΓΛΙΚΟ</t>
  </si>
  <si>
    <t>" ΚΑΛΟΜΟΙΡΗΣ"</t>
  </si>
  <si>
    <t xml:space="preserve">ΣΥΝΟΛΟ ΕΚΔΟΣΕΩΝ </t>
  </si>
  <si>
    <t>ΓΕΝΙΚΟ ΣΥΝΟΛΟ ΠΡΟΣ ΕΚΠΟΙΗΣΗ</t>
  </si>
  <si>
    <t>*</t>
  </si>
  <si>
    <t xml:space="preserve">Α=ΚΑΙΝΟΥΡΓΙΟ </t>
  </si>
  <si>
    <t xml:space="preserve">Β=ΜΕΤΑΧΕΙΡΙΣΜΕΝΟ ΜΕΤΡΙΑ ΕΩΣ ΚΑΛΗ ΚΑΤΑΣΤΑΣΗ </t>
  </si>
  <si>
    <t xml:space="preserve">Γ=ΚΑΚΗ ΚΑΤΑΣΤΑΣΗ </t>
  </si>
  <si>
    <t xml:space="preserve"> Ο Εκκαθαριστής </t>
  </si>
  <si>
    <t xml:space="preserve">Ο Εκτιμητής/Πραγματογνώμονας </t>
  </si>
  <si>
    <t>Δημήτριος  Αγγέλου</t>
  </si>
  <si>
    <t>Παναγιώτης Καλησπεράκης</t>
  </si>
  <si>
    <t>Η Ανώνυμη Εταιρία με την επωνυμία "ΟΡΓΑΝΙΣΜΟΣ ΠΡΟΒΟΛΗΣ ΕΛΛΗΝΙΚΟΥ ΠΟΛΙΤΙΣΜΟΥ ΑΕ -ΥΠΟ ΕΚΚΑΘΑΡΙΣΗ" (ΟΠΕΠ ΑΕ Υπό Εκκαθάριση) που εδρεύει στην οδό Σουλτάνη 6 τκ 10682 - Εξάρχεια - Αθήνα, εποπτευόμενος φορέας του Υπουργείου Πολιτισμού και Αθλητισμού και η οποία με τον ν 4002/22.08.2011 λύθηκε και τέθηκε σε εκκαθάριση, στο πλαίσιο των κείμενων διατάξεων "περί εκκαθάρισης ανωνύμων εταιριών" ο εντολοδόχος εκκαθαριστής (ΦΕΚ Β 2036/05.06.2018) για την εξυπηρέτηση των συμφερόντων της εταιρίας, εκποιεί κινητά περιουσιακά της στοιχεία. Σε αυτά περιλαμβάνονται επιβατικά αυτοκίνητα, έπιπλα, εκδόσεις, cd και λοιπός εξοπλισμός. Ακόμη περιλαμβάνονται εμπορεύματα που αφορούν πολιτιστικά προϊόντα όπως, αντίγραφα ειδωλίων, νομισμάτων, κοσμημάτων, σκευών κ.α ευρημάτων σε αρχαιολογικούς χώρους, καθώς και σύγχρονες χρηστικές εφαρμογές τους. Για την εκποίηση αναγγέλει πρόσκληση ενδιαφέροντος προς υποψήφιους αγοραστές.Οι ενδιαφερόμενοι μπορούν να προσέρχονται στα γραφεία της εταιρίας στην ως άνω διεύθυνση για να λάβουν γνώση των αναλυτικών καταλόγων ανά είδος με την αντίστοιχη εναρκτήρια τιμή πώλησης τους από την Δευτέρα  23/07/2018 έως την Τρίτη  31/07/2018 από τις 10:00 π.μ έως τις 13:00 μ.μ</t>
  </si>
  <si>
    <t>Δύνανται ακόμη να πληροφορηθούν για την διαδικασία εκποίηση τους και τον προγραμματισμό επισκεψιμότητας τους στους χώρους όπου αυτά φυλάσσονται, δηλαδή στο κτίριο του πρώην  "Ακροπόλ" στην Πατησίων -Αθήνα . Έως και την Τρίτη  31/07/2018 (από 10:00 π.μ έως στις 13:00μ.μ) στην ως άνω διεύθυνση μπορούν να υποβάλλουν σε ανοικτούς φακέλους τις σχετικές προσφορές τους. Σε αυτές θα πρέπει να περιλαμβάνονται τα πλήρη στοιχεία του αγοραστή, ονοματεπώνυμο, ή επωνυμία της εταιρίας, ΑΦΜ, διεύθυνση, τηλέφωνα επικοινωνίας. Σημειωτέον ότι οι προσφορές για το σύνολο ή και ομαδική αγορά αντικειμένων (επίπλων, εκδόσεων, λοιπού εξοπλισμού και εμπορευμάτων) θα τύχουν προτεραιότητας.</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</si>
</sst>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dd/mm/yy"/>
    <numFmt numFmtId="173" formatCode="[$-408]dddd\,\ d\ mmmm\ yyyy"/>
    <numFmt numFmtId="174" formatCode="[$-408]h:mm:ss\ AM/PM"/>
    <numFmt numFmtId="175" formatCode="mmm\-yyyy"/>
    <numFmt numFmtId="176" formatCode="dd/mm/yy;@"/>
    <numFmt numFmtId="177" formatCode="#,##0\ &quot;€&quot;"/>
    <numFmt numFmtId="178" formatCode="[$-408]mmmmm;@"/>
    <numFmt numFmtId="179" formatCode="0.00_ ;[Red]\-0.00\ "/>
    <numFmt numFmtId="180" formatCode="_([$€]* #,##0.00_);_([$€]* \(#,##0.00\);_([$€]* &quot;-&quot;??_);_(@_)"/>
    <numFmt numFmtId="181" formatCode="#,##0.00\ &quot;€&quot;"/>
    <numFmt numFmtId="182" formatCode="0.000"/>
    <numFmt numFmtId="183" formatCode="#,##0.000"/>
    <numFmt numFmtId="184" formatCode="0.0"/>
    <numFmt numFmtId="185" formatCode="#,##0.00_ ;[Red]\-#,##0.00\ "/>
    <numFmt numFmtId="186" formatCode="#,##0_ ;[Red]\-#,##0\ "/>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quot;Yes&quot;;&quot;Yes&quot;;&quot;No&quot;"/>
    <numFmt numFmtId="192" formatCode="&quot;True&quot;;&quot;True&quot;;&quot;False&quot;"/>
    <numFmt numFmtId="193" formatCode="&quot;On&quot;;&quot;On&quot;;&quot;Off&quot;"/>
    <numFmt numFmtId="194" formatCode="#,##0.0"/>
  </numFmts>
  <fonts count="37">
    <font>
      <sz val="10"/>
      <name val="Arial"/>
      <family val="0"/>
    </font>
    <font>
      <sz val="8"/>
      <name val="Arial"/>
      <family val="2"/>
    </font>
    <font>
      <b/>
      <sz val="14"/>
      <name val="Arial"/>
      <family val="2"/>
    </font>
    <font>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1"/>
      <name val="Tahoma"/>
      <family val="2"/>
    </font>
    <font>
      <b/>
      <sz val="12"/>
      <name val="Tahoma"/>
      <family val="2"/>
    </font>
    <font>
      <sz val="12"/>
      <name val="Arial"/>
      <family val="0"/>
    </font>
    <font>
      <b/>
      <sz val="12"/>
      <name val="Arial"/>
      <family val="2"/>
    </font>
    <font>
      <sz val="14"/>
      <name val="Arial"/>
      <family val="2"/>
    </font>
    <font>
      <b/>
      <sz val="14"/>
      <name val="Tahoma"/>
      <family val="2"/>
    </font>
    <font>
      <b/>
      <sz val="11"/>
      <name val="Arial Narrow"/>
      <family val="2"/>
    </font>
    <font>
      <sz val="11"/>
      <name val="Arial"/>
      <family val="2"/>
    </font>
    <font>
      <sz val="10"/>
      <name val="Arial Narrow"/>
      <family val="2"/>
    </font>
    <font>
      <b/>
      <sz val="14"/>
      <name val="Arial Narrow"/>
      <family val="2"/>
    </font>
    <font>
      <b/>
      <sz val="10"/>
      <name val="Arial Narrow"/>
      <family val="2"/>
    </font>
    <font>
      <i/>
      <sz val="10"/>
      <name val="Arial"/>
      <family val="2"/>
    </font>
    <font>
      <b/>
      <sz val="2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protection/>
    </xf>
    <xf numFmtId="0" fontId="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0" fillId="0" borderId="0">
      <alignment/>
      <protection/>
    </xf>
    <xf numFmtId="0" fontId="14" fillId="7" borderId="1" applyNumberFormat="0" applyAlignment="0" applyProtection="0"/>
    <xf numFmtId="0" fontId="8" fillId="21" borderId="2"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8" fillId="20" borderId="8" applyNumberFormat="0" applyAlignment="0" applyProtection="0"/>
    <xf numFmtId="0" fontId="9"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10" fillId="4" borderId="0" applyNumberFormat="0" applyBorder="0" applyAlignment="0" applyProtection="0"/>
    <xf numFmtId="0" fontId="16" fillId="22" borderId="0" applyNumberFormat="0" applyBorder="0" applyAlignment="0" applyProtection="0"/>
    <xf numFmtId="0" fontId="21" fillId="0" borderId="0" applyNumberFormat="0" applyFill="0" applyBorder="0" applyAlignment="0" applyProtection="0"/>
    <xf numFmtId="0" fontId="0" fillId="23" borderId="7" applyNumberFormat="0" applyFont="0" applyAlignment="0" applyProtection="0"/>
    <xf numFmtId="0" fontId="15" fillId="0" borderId="6" applyNumberFormat="0" applyFill="0" applyAlignment="0" applyProtection="0"/>
    <xf numFmtId="0" fontId="20" fillId="0" borderId="9" applyNumberFormat="0" applyFill="0" applyAlignment="0" applyProtection="0"/>
    <xf numFmtId="0" fontId="19" fillId="0" borderId="0" applyNumberFormat="0" applyFill="0" applyBorder="0" applyAlignment="0" applyProtection="0"/>
    <xf numFmtId="0" fontId="7" fillId="20" borderId="1" applyNumberFormat="0" applyAlignment="0" applyProtection="0"/>
  </cellStyleXfs>
  <cellXfs count="145">
    <xf numFmtId="0" fontId="0" fillId="0" borderId="0" xfId="0"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2" fillId="0" borderId="0" xfId="0" applyFont="1" applyFill="1" applyBorder="1" applyAlignment="1">
      <alignment/>
    </xf>
    <xf numFmtId="0" fontId="22" fillId="0" borderId="0" xfId="0" applyFont="1" applyFill="1" applyAlignment="1">
      <alignment/>
    </xf>
    <xf numFmtId="0" fontId="0" fillId="0" borderId="10" xfId="0" applyFill="1" applyBorder="1" applyAlignment="1">
      <alignment horizontal="center" vertical="center"/>
    </xf>
    <xf numFmtId="0" fontId="23"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9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 fontId="24" fillId="0" borderId="10" xfId="75" applyNumberFormat="1" applyFont="1" applyFill="1" applyBorder="1" applyAlignment="1">
      <alignment horizontal="center" vertical="center"/>
      <protection/>
    </xf>
    <xf numFmtId="1" fontId="25" fillId="0" borderId="10" xfId="75"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2" fillId="0" borderId="10" xfId="0" applyFont="1" applyFill="1" applyBorder="1" applyAlignment="1">
      <alignment horizontal="center" vertical="center"/>
    </xf>
    <xf numFmtId="194" fontId="0" fillId="0" borderId="0" xfId="0" applyNumberFormat="1" applyFont="1" applyFill="1" applyBorder="1" applyAlignment="1">
      <alignment/>
    </xf>
    <xf numFmtId="4" fontId="0" fillId="0" borderId="0" xfId="0" applyNumberFormat="1" applyFont="1" applyFill="1" applyBorder="1" applyAlignment="1">
      <alignment/>
    </xf>
    <xf numFmtId="184" fontId="0" fillId="0" borderId="0" xfId="0" applyNumberFormat="1" applyFont="1" applyFill="1" applyBorder="1" applyAlignment="1">
      <alignment/>
    </xf>
    <xf numFmtId="0" fontId="27" fillId="0" borderId="10" xfId="0" applyFont="1" applyFill="1" applyBorder="1" applyAlignment="1">
      <alignment horizontal="center" vertical="center" wrapText="1"/>
    </xf>
    <xf numFmtId="0" fontId="0" fillId="0" borderId="0" xfId="0" applyFont="1" applyFill="1" applyBorder="1" applyAlignment="1">
      <alignment/>
    </xf>
    <xf numFmtId="184"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Alignment="1">
      <alignment/>
    </xf>
    <xf numFmtId="4" fontId="0" fillId="0" borderId="10" xfId="0" applyNumberFormat="1" applyFont="1" applyFill="1" applyBorder="1" applyAlignment="1">
      <alignment horizontal="center" vertical="center"/>
    </xf>
    <xf numFmtId="1" fontId="29" fillId="0" borderId="10" xfId="75" applyNumberFormat="1" applyFont="1" applyFill="1" applyBorder="1" applyAlignment="1">
      <alignment horizontal="center" vertical="center"/>
      <protection/>
    </xf>
    <xf numFmtId="4" fontId="2" fillId="0" borderId="10" xfId="0" applyNumberFormat="1" applyFont="1" applyFill="1" applyBorder="1" applyAlignment="1">
      <alignment horizontal="center" vertical="center"/>
    </xf>
    <xf numFmtId="0" fontId="27" fillId="0" borderId="0" xfId="0" applyFont="1" applyFill="1" applyBorder="1" applyAlignment="1">
      <alignment horizontal="center"/>
    </xf>
    <xf numFmtId="184" fontId="26" fillId="0" borderId="0" xfId="0" applyNumberFormat="1" applyFont="1" applyFill="1" applyBorder="1" applyAlignment="1">
      <alignment/>
    </xf>
    <xf numFmtId="0" fontId="26" fillId="0" borderId="0" xfId="0" applyFont="1" applyFill="1" applyBorder="1" applyAlignment="1">
      <alignment/>
    </xf>
    <xf numFmtId="0" fontId="0" fillId="0" borderId="10" xfId="0" applyFont="1" applyFill="1" applyBorder="1" applyAlignment="1">
      <alignment horizontal="center" vertical="center" wrapText="1"/>
    </xf>
    <xf numFmtId="4" fontId="0" fillId="0" borderId="10" xfId="0" applyNumberFormat="1" applyFill="1" applyBorder="1" applyAlignment="1">
      <alignment horizontal="center" vertical="center"/>
    </xf>
    <xf numFmtId="0" fontId="26" fillId="0" borderId="0" xfId="0" applyFont="1" applyFill="1" applyAlignment="1">
      <alignment/>
    </xf>
    <xf numFmtId="0" fontId="22" fillId="0" borderId="10" xfId="0" applyFont="1" applyFill="1" applyBorder="1" applyAlignment="1">
      <alignment horizontal="center" vertical="center"/>
    </xf>
    <xf numFmtId="0" fontId="23" fillId="0" borderId="10" xfId="0" applyFont="1" applyFill="1" applyBorder="1" applyAlignment="1">
      <alignment horizontal="center" wrapText="1"/>
    </xf>
    <xf numFmtId="0" fontId="30" fillId="0" borderId="10" xfId="0" applyFont="1" applyFill="1" applyBorder="1" applyAlignment="1">
      <alignment horizontal="center" wrapText="1"/>
    </xf>
    <xf numFmtId="182" fontId="30"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31" fillId="0" borderId="0" xfId="0" applyFont="1" applyFill="1" applyBorder="1" applyAlignment="1">
      <alignment/>
    </xf>
    <xf numFmtId="0" fontId="0" fillId="0" borderId="10" xfId="0" applyFont="1" applyFill="1" applyBorder="1" applyAlignment="1">
      <alignment horizontal="center"/>
    </xf>
    <xf numFmtId="0" fontId="32" fillId="0" borderId="10" xfId="74" applyNumberFormat="1" applyFont="1" applyFill="1" applyBorder="1" applyAlignment="1" quotePrefix="1">
      <alignment horizontal="center" wrapText="1"/>
      <protection/>
    </xf>
    <xf numFmtId="182" fontId="32" fillId="0" borderId="10" xfId="74" applyNumberFormat="1" applyFont="1" applyFill="1" applyBorder="1" applyAlignment="1">
      <alignment horizontal="center" wrapText="1"/>
      <protection/>
    </xf>
    <xf numFmtId="0" fontId="32" fillId="0" borderId="10" xfId="0" applyFont="1" applyFill="1" applyBorder="1" applyAlignment="1">
      <alignment horizontal="center" wrapText="1"/>
    </xf>
    <xf numFmtId="185" fontId="32" fillId="0" borderId="10" xfId="0" applyNumberFormat="1" applyFont="1" applyFill="1" applyBorder="1" applyAlignment="1">
      <alignment horizontal="center" wrapText="1"/>
    </xf>
    <xf numFmtId="4" fontId="0" fillId="0" borderId="10" xfId="0" applyNumberFormat="1" applyFont="1" applyFill="1" applyBorder="1" applyAlignment="1">
      <alignment horizontal="center"/>
    </xf>
    <xf numFmtId="2" fontId="0" fillId="0" borderId="10" xfId="0" applyNumberFormat="1" applyFont="1" applyFill="1" applyBorder="1" applyAlignment="1">
      <alignment horizontal="center" wrapText="1"/>
    </xf>
    <xf numFmtId="2" fontId="0" fillId="0" borderId="10" xfId="0" applyNumberFormat="1" applyFont="1" applyFill="1" applyBorder="1" applyAlignment="1">
      <alignment horizontal="center"/>
    </xf>
    <xf numFmtId="182" fontId="32" fillId="0" borderId="10" xfId="0" applyNumberFormat="1" applyFont="1" applyFill="1" applyBorder="1" applyAlignment="1">
      <alignment horizontal="center" wrapText="1"/>
    </xf>
    <xf numFmtId="2" fontId="0" fillId="0" borderId="0" xfId="0" applyNumberFormat="1" applyFont="1" applyFill="1" applyBorder="1" applyAlignment="1">
      <alignment horizontal="center"/>
    </xf>
    <xf numFmtId="0" fontId="1" fillId="0" borderId="10" xfId="0" applyFont="1" applyFill="1" applyBorder="1" applyAlignment="1">
      <alignment horizontal="center" vertical="center" wrapText="1"/>
    </xf>
    <xf numFmtId="0" fontId="32" fillId="0" borderId="10" xfId="74" applyNumberFormat="1" applyFont="1" applyFill="1" applyBorder="1" applyAlignment="1">
      <alignment horizontal="center" wrapText="1"/>
      <protection/>
    </xf>
    <xf numFmtId="0" fontId="0" fillId="0" borderId="10" xfId="0" applyFont="1" applyFill="1" applyBorder="1" applyAlignment="1">
      <alignment/>
    </xf>
    <xf numFmtId="4" fontId="0" fillId="0" borderId="10" xfId="0" applyNumberFormat="1" applyFont="1" applyFill="1" applyBorder="1" applyAlignment="1">
      <alignment horizontal="center"/>
    </xf>
    <xf numFmtId="4" fontId="23" fillId="0" borderId="10" xfId="0" applyNumberFormat="1" applyFont="1" applyFill="1" applyBorder="1" applyAlignment="1">
      <alignment horizontal="center"/>
    </xf>
    <xf numFmtId="0" fontId="34" fillId="0" borderId="10" xfId="0" applyFont="1" applyFill="1" applyBorder="1" applyAlignment="1">
      <alignment horizontal="center" wrapText="1"/>
    </xf>
    <xf numFmtId="182" fontId="34" fillId="0" borderId="10" xfId="0" applyNumberFormat="1" applyFont="1" applyFill="1" applyBorder="1" applyAlignment="1">
      <alignment horizontal="center" wrapText="1"/>
    </xf>
    <xf numFmtId="0" fontId="22"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32" fillId="0" borderId="10" xfId="74" applyFont="1" applyFill="1" applyBorder="1" applyAlignment="1">
      <alignment horizontal="center" wrapText="1"/>
      <protection/>
    </xf>
    <xf numFmtId="2" fontId="35" fillId="0" borderId="10" xfId="0" applyNumberFormat="1" applyFont="1" applyFill="1" applyBorder="1" applyAlignment="1">
      <alignment horizontal="center"/>
    </xf>
    <xf numFmtId="2" fontId="35" fillId="0" borderId="0" xfId="0" applyNumberFormat="1" applyFont="1" applyFill="1" applyBorder="1" applyAlignment="1">
      <alignment horizontal="center"/>
    </xf>
    <xf numFmtId="0" fontId="27" fillId="0" borderId="10" xfId="0" applyFont="1" applyFill="1" applyBorder="1" applyAlignment="1">
      <alignment horizontal="center"/>
    </xf>
    <xf numFmtId="4" fontId="27" fillId="0" borderId="10" xfId="0" applyNumberFormat="1" applyFont="1" applyFill="1" applyBorder="1" applyAlignment="1">
      <alignment horizontal="center"/>
    </xf>
    <xf numFmtId="4" fontId="27" fillId="0" borderId="10" xfId="0" applyNumberFormat="1" applyFont="1" applyFill="1" applyBorder="1" applyAlignment="1">
      <alignment horizontal="center"/>
    </xf>
    <xf numFmtId="2" fontId="26" fillId="0" borderId="10" xfId="0" applyNumberFormat="1" applyFont="1" applyFill="1" applyBorder="1" applyAlignment="1">
      <alignment horizontal="center"/>
    </xf>
    <xf numFmtId="0" fontId="27" fillId="0" borderId="10" xfId="0" applyFont="1" applyFill="1" applyBorder="1" applyAlignment="1">
      <alignment horizontal="center"/>
    </xf>
    <xf numFmtId="0" fontId="23" fillId="0" borderId="11" xfId="0" applyFont="1" applyFill="1" applyBorder="1" applyAlignment="1">
      <alignment horizontal="center"/>
    </xf>
    <xf numFmtId="0" fontId="22" fillId="0" borderId="10" xfId="0" applyFont="1" applyFill="1" applyBorder="1" applyAlignment="1">
      <alignment horizontal="center"/>
    </xf>
    <xf numFmtId="2" fontId="22" fillId="0" borderId="10" xfId="0" applyNumberFormat="1" applyFont="1" applyFill="1" applyBorder="1" applyAlignment="1">
      <alignment horizontal="center" wrapText="1"/>
    </xf>
    <xf numFmtId="0" fontId="0" fillId="0" borderId="10" xfId="0" applyFont="1" applyFill="1" applyBorder="1" applyAlignment="1">
      <alignment horizontal="center" wrapText="1"/>
    </xf>
    <xf numFmtId="3" fontId="0" fillId="0" borderId="10" xfId="0" applyNumberFormat="1" applyFont="1" applyFill="1" applyBorder="1" applyAlignment="1">
      <alignment horizontal="center"/>
    </xf>
    <xf numFmtId="2" fontId="0" fillId="0" borderId="0" xfId="0" applyNumberFormat="1" applyFont="1" applyFill="1" applyBorder="1" applyAlignment="1">
      <alignment horizontal="center" wrapText="1"/>
    </xf>
    <xf numFmtId="3" fontId="27" fillId="0" borderId="10" xfId="0" applyNumberFormat="1" applyFont="1" applyFill="1" applyBorder="1" applyAlignment="1">
      <alignment horizontal="center"/>
    </xf>
    <xf numFmtId="0" fontId="27" fillId="0" borderId="10" xfId="0" applyFont="1" applyFill="1" applyBorder="1" applyAlignment="1">
      <alignment horizontal="center" wrapText="1"/>
    </xf>
    <xf numFmtId="2" fontId="27" fillId="0" borderId="10" xfId="0" applyNumberFormat="1" applyFont="1" applyFill="1" applyBorder="1" applyAlignment="1">
      <alignment horizontal="center"/>
    </xf>
    <xf numFmtId="4" fontId="27" fillId="0" borderId="10" xfId="0" applyNumberFormat="1" applyFont="1" applyFill="1" applyBorder="1" applyAlignment="1">
      <alignment wrapText="1"/>
    </xf>
    <xf numFmtId="4" fontId="27" fillId="0" borderId="0" xfId="0" applyNumberFormat="1" applyFont="1" applyFill="1" applyBorder="1" applyAlignment="1">
      <alignment horizontal="center"/>
    </xf>
    <xf numFmtId="4" fontId="2" fillId="0" borderId="10" xfId="0" applyNumberFormat="1" applyFont="1" applyFill="1" applyBorder="1" applyAlignment="1">
      <alignment/>
    </xf>
    <xf numFmtId="4" fontId="2" fillId="0" borderId="0" xfId="0" applyNumberFormat="1" applyFont="1" applyFill="1" applyBorder="1" applyAlignment="1">
      <alignment/>
    </xf>
    <xf numFmtId="0" fontId="27" fillId="0" borderId="0" xfId="0" applyFont="1" applyFill="1" applyAlignment="1">
      <alignment horizontal="left"/>
    </xf>
    <xf numFmtId="0" fontId="22" fillId="0" borderId="0" xfId="0" applyFont="1" applyFill="1" applyAlignment="1">
      <alignment horizontal="center"/>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1" fontId="24" fillId="0" borderId="10" xfId="75" applyNumberFormat="1" applyFont="1" applyFill="1" applyBorder="1" applyAlignment="1">
      <alignment horizontal="center" vertical="center"/>
      <protection/>
    </xf>
    <xf numFmtId="0" fontId="27"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0" fillId="0" borderId="15" xfId="0" applyNumberFormat="1" applyFont="1" applyFill="1" applyBorder="1" applyAlignment="1" applyProtection="1">
      <alignment horizontal="left" vertical="top" wrapText="1"/>
      <protection locked="0"/>
    </xf>
    <xf numFmtId="0" fontId="0" fillId="0" borderId="15" xfId="0" applyNumberFormat="1" applyFont="1" applyFill="1" applyBorder="1" applyAlignment="1">
      <alignment horizontal="left" vertical="top" wrapText="1"/>
    </xf>
    <xf numFmtId="0" fontId="2" fillId="20" borderId="10" xfId="0" applyFont="1" applyFill="1" applyBorder="1" applyAlignment="1">
      <alignment horizontal="center" vertical="center" wrapText="1"/>
    </xf>
    <xf numFmtId="0" fontId="0" fillId="20" borderId="10" xfId="0" applyFill="1" applyBorder="1" applyAlignment="1">
      <alignment horizontal="center" vertical="center" wrapText="1"/>
    </xf>
    <xf numFmtId="0" fontId="2" fillId="20" borderId="10" xfId="0" applyFont="1" applyFill="1" applyBorder="1" applyAlignment="1">
      <alignment horizontal="center" vertical="center"/>
    </xf>
    <xf numFmtId="0" fontId="0" fillId="20" borderId="10" xfId="0" applyFill="1" applyBorder="1" applyAlignment="1">
      <alignment horizontal="center" vertical="center"/>
    </xf>
    <xf numFmtId="0" fontId="23" fillId="0" borderId="10" xfId="0" applyFont="1" applyFill="1" applyBorder="1" applyAlignment="1">
      <alignment horizontal="center" vertical="center"/>
    </xf>
    <xf numFmtId="0" fontId="0" fillId="0" borderId="10" xfId="0"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3" fillId="0" borderId="10" xfId="75" applyFont="1" applyFill="1" applyBorder="1" applyAlignment="1">
      <alignment horizontal="center" vertical="center"/>
      <protection/>
    </xf>
    <xf numFmtId="1" fontId="29" fillId="0" borderId="10" xfId="75" applyNumberFormat="1" applyFont="1" applyFill="1" applyBorder="1" applyAlignment="1">
      <alignment horizontal="center" vertical="center"/>
      <protection/>
    </xf>
    <xf numFmtId="0" fontId="27" fillId="20" borderId="10" xfId="0" applyFont="1" applyFill="1" applyBorder="1" applyAlignment="1">
      <alignment horizontal="center" vertical="center"/>
    </xf>
    <xf numFmtId="0" fontId="27" fillId="20" borderId="10" xfId="0" applyFont="1" applyFill="1" applyBorder="1" applyAlignment="1">
      <alignment horizontal="center" wrapText="1"/>
    </xf>
    <xf numFmtId="0" fontId="0" fillId="20" borderId="10" xfId="0" applyFill="1" applyBorder="1" applyAlignment="1">
      <alignment horizontal="center"/>
    </xf>
    <xf numFmtId="0" fontId="0" fillId="20" borderId="18" xfId="0" applyFill="1" applyBorder="1" applyAlignment="1">
      <alignment horizontal="center"/>
    </xf>
    <xf numFmtId="0" fontId="0" fillId="0" borderId="18" xfId="0" applyBorder="1" applyAlignment="1">
      <alignment horizontal="center"/>
    </xf>
    <xf numFmtId="0" fontId="30" fillId="20" borderId="10" xfId="0" applyFont="1" applyFill="1" applyBorder="1" applyAlignment="1">
      <alignment horizontal="center" wrapText="1"/>
    </xf>
    <xf numFmtId="0" fontId="0" fillId="20" borderId="10" xfId="0" applyFill="1" applyBorder="1" applyAlignment="1">
      <alignment/>
    </xf>
    <xf numFmtId="0" fontId="0" fillId="0" borderId="10" xfId="0" applyBorder="1" applyAlignment="1">
      <alignment/>
    </xf>
    <xf numFmtId="0" fontId="33" fillId="20" borderId="10" xfId="0" applyFont="1" applyFill="1" applyBorder="1" applyAlignment="1">
      <alignment horizontal="center" wrapText="1"/>
    </xf>
    <xf numFmtId="0" fontId="0" fillId="20" borderId="10" xfId="0" applyFill="1" applyBorder="1" applyAlignment="1">
      <alignment wrapText="1"/>
    </xf>
    <xf numFmtId="1" fontId="25" fillId="0" borderId="10" xfId="75" applyNumberFormat="1" applyFont="1" applyFill="1" applyBorder="1" applyAlignment="1">
      <alignment horizontal="center" vertical="center"/>
      <protection/>
    </xf>
    <xf numFmtId="0" fontId="27" fillId="0" borderId="10" xfId="0" applyFont="1" applyFill="1" applyBorder="1" applyAlignment="1">
      <alignment horizontal="center"/>
    </xf>
    <xf numFmtId="0" fontId="26" fillId="0" borderId="10" xfId="0" applyFont="1" applyFill="1" applyBorder="1" applyAlignment="1">
      <alignment horizontal="center"/>
    </xf>
    <xf numFmtId="0" fontId="23" fillId="20" borderId="10" xfId="0" applyFont="1" applyFill="1" applyBorder="1" applyAlignment="1">
      <alignment horizontal="center"/>
    </xf>
    <xf numFmtId="0" fontId="22"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2" fillId="0" borderId="0" xfId="0" applyFont="1" applyFill="1" applyAlignment="1">
      <alignment horizontal="center"/>
    </xf>
    <xf numFmtId="0" fontId="22" fillId="0" borderId="0" xfId="0" applyFont="1" applyFill="1" applyBorder="1" applyAlignment="1">
      <alignment horizontal="center"/>
    </xf>
    <xf numFmtId="0" fontId="2" fillId="0" borderId="10" xfId="0" applyFont="1" applyFill="1" applyBorder="1" applyAlignment="1">
      <alignment horizontal="center"/>
    </xf>
    <xf numFmtId="0" fontId="28" fillId="0" borderId="10" xfId="0" applyFont="1" applyFill="1" applyBorder="1" applyAlignment="1">
      <alignment horizontal="center"/>
    </xf>
    <xf numFmtId="0" fontId="36" fillId="0" borderId="0" xfId="0" applyFont="1" applyFill="1" applyAlignment="1">
      <alignment horizontal="right"/>
    </xf>
  </cellXfs>
  <cellStyles count="92">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_Sheet1" xfId="74"/>
    <cellStyle name="Normal_ΕΠΙΠΛΑ ΘΕΣΣΑΛΟΝΙΚΗΣ" xfId="75"/>
    <cellStyle name="Note" xfId="76"/>
    <cellStyle name="Output" xfId="77"/>
    <cellStyle name="Percent" xfId="78"/>
    <cellStyle name="Title" xfId="79"/>
    <cellStyle name="Total" xfId="80"/>
    <cellStyle name="Warning Text" xfId="81"/>
    <cellStyle name="Βασικό_Φύλλο1" xfId="82"/>
    <cellStyle name="Εισαγωγή" xfId="83"/>
    <cellStyle name="Έλεγχος κελιού" xfId="84"/>
    <cellStyle name="Έμφαση1" xfId="85"/>
    <cellStyle name="Έμφαση2" xfId="86"/>
    <cellStyle name="Έμφαση3" xfId="87"/>
    <cellStyle name="Έμφαση4" xfId="88"/>
    <cellStyle name="Έμφαση5" xfId="89"/>
    <cellStyle name="Έμφαση6" xfId="90"/>
    <cellStyle name="Έξοδος" xfId="91"/>
    <cellStyle name="Επεξηγηματικό κείμενο" xfId="92"/>
    <cellStyle name="Επικεφαλίδα 1" xfId="93"/>
    <cellStyle name="Επικεφαλίδα 2" xfId="94"/>
    <cellStyle name="Επικεφαλίδα 3" xfId="95"/>
    <cellStyle name="Επικεφαλίδα 4" xfId="96"/>
    <cellStyle name="Κακό" xfId="97"/>
    <cellStyle name="Καλό" xfId="98"/>
    <cellStyle name="Ουδέτερο" xfId="99"/>
    <cellStyle name="Προειδοποιητικό κείμενο" xfId="100"/>
    <cellStyle name="Σημείωση" xfId="101"/>
    <cellStyle name="Συνδεδεμένο κελί" xfId="102"/>
    <cellStyle name="Σύνολο" xfId="103"/>
    <cellStyle name="Τίτλος" xfId="104"/>
    <cellStyle name="Υπολογισμός"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9"/>
  <sheetViews>
    <sheetView tabSelected="1" zoomScale="85" zoomScaleNormal="85" workbookViewId="0" topLeftCell="A1">
      <selection activeCell="A3" sqref="A3:K3"/>
    </sheetView>
  </sheetViews>
  <sheetFormatPr defaultColWidth="9.140625" defaultRowHeight="12.75"/>
  <cols>
    <col min="1" max="1" width="59.57421875" style="4" customWidth="1"/>
    <col min="2" max="2" width="40.140625" style="4" customWidth="1"/>
    <col min="3" max="3" width="33.140625" style="5" customWidth="1"/>
    <col min="4" max="4" width="11.140625" style="4" customWidth="1"/>
    <col min="5" max="5" width="15.57421875" style="6" customWidth="1"/>
    <col min="6" max="6" width="16.421875" style="5" customWidth="1"/>
    <col min="7" max="7" width="15.140625" style="7" customWidth="1"/>
    <col min="8" max="8" width="16.7109375" style="3" customWidth="1"/>
    <col min="9" max="9" width="13.57421875" style="3" customWidth="1"/>
    <col min="10" max="10" width="14.140625" style="3" bestFit="1" customWidth="1"/>
    <col min="11" max="11" width="15.8515625" style="3" customWidth="1"/>
    <col min="12" max="20" width="9.140625" style="3" customWidth="1"/>
    <col min="21" max="16384" width="9.140625" style="4" customWidth="1"/>
  </cols>
  <sheetData>
    <row r="1" spans="1:11" ht="51" customHeight="1">
      <c r="A1" s="106" t="s">
        <v>0</v>
      </c>
      <c r="B1" s="107"/>
      <c r="C1" s="107"/>
      <c r="D1" s="107"/>
      <c r="E1" s="107"/>
      <c r="F1" s="107"/>
      <c r="G1" s="107"/>
      <c r="H1" s="107"/>
      <c r="I1" s="107"/>
      <c r="J1" s="107"/>
      <c r="K1" s="108"/>
    </row>
    <row r="2" spans="1:11" ht="119.25" customHeight="1">
      <c r="A2" s="109" t="s">
        <v>614</v>
      </c>
      <c r="B2" s="110"/>
      <c r="C2" s="110"/>
      <c r="D2" s="110"/>
      <c r="E2" s="110"/>
      <c r="F2" s="110"/>
      <c r="G2" s="110"/>
      <c r="H2" s="110"/>
      <c r="I2" s="110"/>
      <c r="J2" s="110"/>
      <c r="K2" s="110"/>
    </row>
    <row r="3" spans="1:23" s="2" customFormat="1" ht="102.75" customHeight="1" thickBot="1">
      <c r="A3" s="111" t="s">
        <v>615</v>
      </c>
      <c r="B3" s="112"/>
      <c r="C3" s="112"/>
      <c r="D3" s="112"/>
      <c r="E3" s="112"/>
      <c r="F3" s="112"/>
      <c r="G3" s="112"/>
      <c r="H3" s="112"/>
      <c r="I3" s="112"/>
      <c r="J3" s="112"/>
      <c r="K3" s="112"/>
      <c r="L3" s="1"/>
      <c r="M3" s="1"/>
      <c r="N3" s="1"/>
      <c r="O3" s="1"/>
      <c r="P3" s="1"/>
      <c r="Q3" s="1"/>
      <c r="R3" s="1"/>
      <c r="S3" s="1"/>
      <c r="T3" s="1"/>
      <c r="U3" s="1"/>
      <c r="V3" s="1"/>
      <c r="W3" s="1"/>
    </row>
    <row r="4" spans="1:11" ht="30.75" customHeight="1">
      <c r="A4" s="113" t="s">
        <v>1</v>
      </c>
      <c r="B4" s="114"/>
      <c r="C4" s="114"/>
      <c r="D4" s="114"/>
      <c r="E4" s="114"/>
      <c r="F4" s="114"/>
      <c r="G4" s="114"/>
      <c r="H4" s="114"/>
      <c r="I4" s="114"/>
      <c r="J4" s="8"/>
      <c r="K4" s="8"/>
    </row>
    <row r="5" spans="1:20" s="11" customFormat="1" ht="24" customHeight="1">
      <c r="A5" s="115" t="s">
        <v>2</v>
      </c>
      <c r="B5" s="116"/>
      <c r="C5" s="116"/>
      <c r="D5" s="116"/>
      <c r="E5" s="116"/>
      <c r="F5" s="116"/>
      <c r="G5" s="116"/>
      <c r="H5" s="116"/>
      <c r="I5" s="116"/>
      <c r="J5" s="9"/>
      <c r="K5" s="9"/>
      <c r="L5" s="10"/>
      <c r="M5" s="10"/>
      <c r="N5" s="10"/>
      <c r="O5" s="10"/>
      <c r="P5" s="10"/>
      <c r="Q5" s="10"/>
      <c r="R5" s="10"/>
      <c r="S5" s="10"/>
      <c r="T5" s="10"/>
    </row>
    <row r="6" spans="1:18" s="16" customFormat="1" ht="51">
      <c r="A6" s="117" t="s">
        <v>3</v>
      </c>
      <c r="B6" s="118"/>
      <c r="C6" s="13"/>
      <c r="D6" s="117" t="s">
        <v>4</v>
      </c>
      <c r="E6" s="117"/>
      <c r="F6" s="13" t="s">
        <v>5</v>
      </c>
      <c r="G6" s="14" t="s">
        <v>6</v>
      </c>
      <c r="H6" s="14" t="s">
        <v>7</v>
      </c>
      <c r="I6" s="14" t="s">
        <v>8</v>
      </c>
      <c r="J6" s="15"/>
      <c r="K6" s="15"/>
      <c r="L6" s="15"/>
      <c r="M6" s="15"/>
      <c r="N6" s="15"/>
      <c r="O6" s="15"/>
      <c r="P6" s="15"/>
      <c r="Q6" s="15"/>
      <c r="R6" s="15"/>
    </row>
    <row r="7" spans="1:18" s="24" customFormat="1" ht="12.75">
      <c r="A7" s="100" t="s">
        <v>9</v>
      </c>
      <c r="B7" s="101"/>
      <c r="C7" s="17"/>
      <c r="D7" s="19"/>
      <c r="E7" s="19">
        <v>82</v>
      </c>
      <c r="F7" s="19">
        <f aca="true" t="shared" si="0" ref="F7:F12">SUM(D7:E7)</f>
        <v>82</v>
      </c>
      <c r="G7" s="20">
        <v>5</v>
      </c>
      <c r="H7" s="20">
        <f aca="true" t="shared" si="1" ref="H7:H18">G7*F7</f>
        <v>410</v>
      </c>
      <c r="I7" s="21" t="s">
        <v>10</v>
      </c>
      <c r="J7" s="22"/>
      <c r="K7" s="22"/>
      <c r="L7" s="23"/>
      <c r="M7" s="23"/>
      <c r="N7" s="23"/>
      <c r="O7" s="23"/>
      <c r="P7" s="23"/>
      <c r="Q7" s="23"/>
      <c r="R7" s="23"/>
    </row>
    <row r="8" spans="1:18" s="24" customFormat="1" ht="12.75">
      <c r="A8" s="100" t="s">
        <v>11</v>
      </c>
      <c r="B8" s="101"/>
      <c r="C8" s="19"/>
      <c r="D8" s="19"/>
      <c r="E8" s="19">
        <v>8</v>
      </c>
      <c r="F8" s="19">
        <f t="shared" si="0"/>
        <v>8</v>
      </c>
      <c r="G8" s="20">
        <v>6</v>
      </c>
      <c r="H8" s="20">
        <f t="shared" si="1"/>
        <v>48</v>
      </c>
      <c r="I8" s="21" t="s">
        <v>10</v>
      </c>
      <c r="J8" s="22"/>
      <c r="K8" s="22"/>
      <c r="L8" s="23"/>
      <c r="M8" s="23"/>
      <c r="N8" s="23"/>
      <c r="O8" s="23"/>
      <c r="P8" s="23"/>
      <c r="Q8" s="23"/>
      <c r="R8" s="23"/>
    </row>
    <row r="9" spans="1:18" s="24" customFormat="1" ht="12.75">
      <c r="A9" s="100" t="s">
        <v>12</v>
      </c>
      <c r="B9" s="101"/>
      <c r="C9" s="12"/>
      <c r="D9" s="12"/>
      <c r="E9" s="12">
        <v>27</v>
      </c>
      <c r="F9" s="19">
        <f t="shared" si="0"/>
        <v>27</v>
      </c>
      <c r="G9" s="20">
        <v>3</v>
      </c>
      <c r="H9" s="20">
        <f t="shared" si="1"/>
        <v>81</v>
      </c>
      <c r="I9" s="21" t="s">
        <v>10</v>
      </c>
      <c r="J9" s="22"/>
      <c r="K9" s="22"/>
      <c r="L9" s="23"/>
      <c r="M9" s="23"/>
      <c r="N9" s="23"/>
      <c r="O9" s="23"/>
      <c r="P9" s="23"/>
      <c r="Q9" s="23"/>
      <c r="R9" s="23"/>
    </row>
    <row r="10" spans="1:18" s="24" customFormat="1" ht="12.75">
      <c r="A10" s="100" t="s">
        <v>13</v>
      </c>
      <c r="B10" s="101"/>
      <c r="C10" s="12"/>
      <c r="D10" s="12"/>
      <c r="E10" s="12">
        <v>105</v>
      </c>
      <c r="F10" s="19">
        <f t="shared" si="0"/>
        <v>105</v>
      </c>
      <c r="G10" s="20">
        <v>1.5</v>
      </c>
      <c r="H10" s="20">
        <f t="shared" si="1"/>
        <v>157.5</v>
      </c>
      <c r="I10" s="21" t="s">
        <v>10</v>
      </c>
      <c r="J10" s="22"/>
      <c r="K10" s="22"/>
      <c r="L10" s="23"/>
      <c r="M10" s="23"/>
      <c r="N10" s="23"/>
      <c r="O10" s="23"/>
      <c r="P10" s="23"/>
      <c r="Q10" s="23"/>
      <c r="R10" s="23"/>
    </row>
    <row r="11" spans="1:18" s="24" customFormat="1" ht="12.75">
      <c r="A11" s="100" t="s">
        <v>14</v>
      </c>
      <c r="B11" s="101"/>
      <c r="C11" s="12"/>
      <c r="D11" s="12"/>
      <c r="E11" s="12">
        <v>148</v>
      </c>
      <c r="F11" s="19">
        <f t="shared" si="0"/>
        <v>148</v>
      </c>
      <c r="G11" s="20">
        <v>1.5</v>
      </c>
      <c r="H11" s="20">
        <f t="shared" si="1"/>
        <v>222</v>
      </c>
      <c r="I11" s="21" t="s">
        <v>10</v>
      </c>
      <c r="J11" s="22"/>
      <c r="K11" s="22"/>
      <c r="L11" s="23"/>
      <c r="M11" s="23"/>
      <c r="N11" s="23"/>
      <c r="O11" s="23"/>
      <c r="P11" s="23"/>
      <c r="Q11" s="23"/>
      <c r="R11" s="23"/>
    </row>
    <row r="12" spans="1:18" s="24" customFormat="1" ht="12.75">
      <c r="A12" s="100" t="s">
        <v>15</v>
      </c>
      <c r="B12" s="101"/>
      <c r="C12" s="12"/>
      <c r="D12" s="12"/>
      <c r="E12" s="12">
        <v>1</v>
      </c>
      <c r="F12" s="19">
        <f t="shared" si="0"/>
        <v>1</v>
      </c>
      <c r="G12" s="20">
        <v>5</v>
      </c>
      <c r="H12" s="20">
        <f t="shared" si="1"/>
        <v>5</v>
      </c>
      <c r="I12" s="21" t="s">
        <v>10</v>
      </c>
      <c r="J12" s="22"/>
      <c r="K12" s="22"/>
      <c r="L12" s="23"/>
      <c r="M12" s="23"/>
      <c r="N12" s="23"/>
      <c r="O12" s="23"/>
      <c r="P12" s="23"/>
      <c r="Q12" s="23"/>
      <c r="R12" s="23"/>
    </row>
    <row r="13" spans="1:18" s="24" customFormat="1" ht="12.75">
      <c r="A13" s="102" t="s">
        <v>16</v>
      </c>
      <c r="B13" s="118"/>
      <c r="C13" s="17" t="s">
        <v>17</v>
      </c>
      <c r="D13" s="21"/>
      <c r="E13" s="19">
        <v>1</v>
      </c>
      <c r="F13" s="19">
        <f aca="true" t="shared" si="2" ref="F13:F18">SUM(E13:E13)</f>
        <v>1</v>
      </c>
      <c r="G13" s="20">
        <v>7.5</v>
      </c>
      <c r="H13" s="20">
        <f t="shared" si="1"/>
        <v>7.5</v>
      </c>
      <c r="I13" s="21" t="s">
        <v>10</v>
      </c>
      <c r="J13" s="22"/>
      <c r="K13" s="22"/>
      <c r="L13" s="23"/>
      <c r="M13" s="23"/>
      <c r="N13" s="23"/>
      <c r="O13" s="23"/>
      <c r="P13" s="23"/>
      <c r="Q13" s="23"/>
      <c r="R13" s="23"/>
    </row>
    <row r="14" spans="1:18" s="24" customFormat="1" ht="12.75">
      <c r="A14" s="102" t="s">
        <v>16</v>
      </c>
      <c r="B14" s="118"/>
      <c r="C14" s="19"/>
      <c r="D14" s="21"/>
      <c r="E14" s="19">
        <v>3</v>
      </c>
      <c r="F14" s="19">
        <f t="shared" si="2"/>
        <v>3</v>
      </c>
      <c r="G14" s="20">
        <v>5</v>
      </c>
      <c r="H14" s="20">
        <f t="shared" si="1"/>
        <v>15</v>
      </c>
      <c r="I14" s="21" t="s">
        <v>10</v>
      </c>
      <c r="J14" s="22"/>
      <c r="K14" s="22"/>
      <c r="L14" s="23"/>
      <c r="M14" s="23"/>
      <c r="N14" s="23"/>
      <c r="O14" s="23"/>
      <c r="P14" s="23"/>
      <c r="Q14" s="23"/>
      <c r="R14" s="23"/>
    </row>
    <row r="15" spans="1:18" s="24" customFormat="1" ht="12.75">
      <c r="A15" s="102" t="s">
        <v>18</v>
      </c>
      <c r="B15" s="118"/>
      <c r="C15" s="17"/>
      <c r="D15" s="21"/>
      <c r="E15" s="19">
        <v>1</v>
      </c>
      <c r="F15" s="19">
        <f t="shared" si="2"/>
        <v>1</v>
      </c>
      <c r="G15" s="20">
        <v>6</v>
      </c>
      <c r="H15" s="20">
        <f t="shared" si="1"/>
        <v>6</v>
      </c>
      <c r="I15" s="21" t="s">
        <v>10</v>
      </c>
      <c r="J15" s="22"/>
      <c r="K15" s="22"/>
      <c r="L15" s="23"/>
      <c r="M15" s="23"/>
      <c r="N15" s="23"/>
      <c r="O15" s="23"/>
      <c r="P15" s="23"/>
      <c r="Q15" s="23"/>
      <c r="R15" s="23"/>
    </row>
    <row r="16" spans="1:18" s="24" customFormat="1" ht="15" customHeight="1">
      <c r="A16" s="102" t="s">
        <v>19</v>
      </c>
      <c r="B16" s="118"/>
      <c r="C16" s="17"/>
      <c r="D16" s="21"/>
      <c r="E16" s="19">
        <v>18</v>
      </c>
      <c r="F16" s="19">
        <f t="shared" si="2"/>
        <v>18</v>
      </c>
      <c r="G16" s="20">
        <v>5</v>
      </c>
      <c r="H16" s="20">
        <f t="shared" si="1"/>
        <v>90</v>
      </c>
      <c r="I16" s="21" t="s">
        <v>10</v>
      </c>
      <c r="J16" s="22"/>
      <c r="K16" s="22"/>
      <c r="L16" s="23"/>
      <c r="M16" s="23"/>
      <c r="N16" s="23"/>
      <c r="O16" s="23"/>
      <c r="P16" s="23"/>
      <c r="Q16" s="23"/>
      <c r="R16" s="23"/>
    </row>
    <row r="17" spans="1:19" s="23" customFormat="1" ht="14.25">
      <c r="A17" s="100" t="s">
        <v>20</v>
      </c>
      <c r="B17" s="101"/>
      <c r="C17" s="25"/>
      <c r="D17" s="21"/>
      <c r="E17" s="19">
        <v>8</v>
      </c>
      <c r="F17" s="19">
        <f t="shared" si="2"/>
        <v>8</v>
      </c>
      <c r="G17" s="20">
        <v>5</v>
      </c>
      <c r="H17" s="20">
        <f t="shared" si="1"/>
        <v>40</v>
      </c>
      <c r="I17" s="21" t="s">
        <v>10</v>
      </c>
      <c r="J17" s="22"/>
      <c r="K17" s="22"/>
      <c r="S17" s="24"/>
    </row>
    <row r="18" spans="1:19" s="23" customFormat="1" ht="14.25">
      <c r="A18" s="100" t="s">
        <v>21</v>
      </c>
      <c r="B18" s="101"/>
      <c r="C18" s="25"/>
      <c r="D18" s="21"/>
      <c r="E18" s="19">
        <v>11</v>
      </c>
      <c r="F18" s="19">
        <f t="shared" si="2"/>
        <v>11</v>
      </c>
      <c r="G18" s="20">
        <v>5</v>
      </c>
      <c r="H18" s="20">
        <f t="shared" si="1"/>
        <v>55</v>
      </c>
      <c r="I18" s="21" t="s">
        <v>10</v>
      </c>
      <c r="J18" s="22"/>
      <c r="K18" s="22"/>
      <c r="S18" s="24"/>
    </row>
    <row r="19" spans="1:19" s="23" customFormat="1" ht="15.75">
      <c r="A19" s="103" t="s">
        <v>22</v>
      </c>
      <c r="B19" s="118"/>
      <c r="C19" s="25"/>
      <c r="D19" s="25"/>
      <c r="E19" s="25"/>
      <c r="F19" s="26">
        <f>SUM(F7:F18)</f>
        <v>413</v>
      </c>
      <c r="G19" s="27"/>
      <c r="H19" s="28">
        <f>SUM(H7:H18)</f>
        <v>1137</v>
      </c>
      <c r="I19" s="19"/>
      <c r="S19" s="24"/>
    </row>
    <row r="20" spans="1:19" s="23" customFormat="1" ht="18">
      <c r="A20" s="115" t="s">
        <v>23</v>
      </c>
      <c r="B20" s="116"/>
      <c r="C20" s="116"/>
      <c r="D20" s="116"/>
      <c r="E20" s="116"/>
      <c r="F20" s="116"/>
      <c r="G20" s="116"/>
      <c r="H20" s="116"/>
      <c r="I20" s="116"/>
      <c r="S20" s="24"/>
    </row>
    <row r="21" spans="1:19" s="3" customFormat="1" ht="21" customHeight="1">
      <c r="A21" s="29"/>
      <c r="B21" s="104" t="s">
        <v>4</v>
      </c>
      <c r="C21" s="118"/>
      <c r="D21" s="118"/>
      <c r="E21" s="118"/>
      <c r="F21" s="118"/>
      <c r="G21" s="105" t="s">
        <v>6</v>
      </c>
      <c r="H21" s="105" t="s">
        <v>7</v>
      </c>
      <c r="I21" s="105" t="s">
        <v>8</v>
      </c>
      <c r="S21" s="4"/>
    </row>
    <row r="22" spans="1:19" s="3" customFormat="1" ht="12.75">
      <c r="A22" s="49" t="s">
        <v>24</v>
      </c>
      <c r="B22" s="31" t="s">
        <v>25</v>
      </c>
      <c r="C22" s="49" t="s">
        <v>26</v>
      </c>
      <c r="D22" s="49"/>
      <c r="E22" s="31"/>
      <c r="F22" s="31" t="s">
        <v>27</v>
      </c>
      <c r="G22" s="105"/>
      <c r="H22" s="105"/>
      <c r="I22" s="105"/>
      <c r="S22" s="4"/>
    </row>
    <row r="23" spans="1:20" ht="25.5">
      <c r="A23" s="49"/>
      <c r="B23" s="19" t="s">
        <v>28</v>
      </c>
      <c r="C23" s="17" t="s">
        <v>28</v>
      </c>
      <c r="D23" s="17" t="s">
        <v>29</v>
      </c>
      <c r="E23" s="19"/>
      <c r="F23" s="19"/>
      <c r="G23" s="105"/>
      <c r="H23" s="105"/>
      <c r="I23" s="105"/>
      <c r="S23" s="4"/>
      <c r="T23" s="4"/>
    </row>
    <row r="24" spans="1:19" s="3" customFormat="1" ht="12.75">
      <c r="A24" s="19" t="s">
        <v>30</v>
      </c>
      <c r="B24" s="19">
        <v>25</v>
      </c>
      <c r="C24" s="19">
        <f>33+1</f>
        <v>34</v>
      </c>
      <c r="D24" s="19">
        <v>6</v>
      </c>
      <c r="E24" s="19"/>
      <c r="F24" s="19">
        <f aca="true" t="shared" si="3" ref="F24:F31">B24+C24+D24</f>
        <v>65</v>
      </c>
      <c r="G24" s="20">
        <v>5</v>
      </c>
      <c r="H24" s="20">
        <f aca="true" t="shared" si="4" ref="H24:H32">G24*F24</f>
        <v>325</v>
      </c>
      <c r="I24" s="21" t="s">
        <v>10</v>
      </c>
      <c r="J24" s="32"/>
      <c r="K24" s="32"/>
      <c r="S24" s="4"/>
    </row>
    <row r="25" spans="1:19" s="3" customFormat="1" ht="15" customHeight="1">
      <c r="A25" s="19" t="s">
        <v>31</v>
      </c>
      <c r="B25" s="19">
        <v>2</v>
      </c>
      <c r="C25" s="19">
        <v>13</v>
      </c>
      <c r="D25" s="19"/>
      <c r="E25" s="19"/>
      <c r="F25" s="19">
        <f t="shared" si="3"/>
        <v>15</v>
      </c>
      <c r="G25" s="20">
        <v>6</v>
      </c>
      <c r="H25" s="20">
        <f t="shared" si="4"/>
        <v>90</v>
      </c>
      <c r="I25" s="21" t="s">
        <v>10</v>
      </c>
      <c r="J25" s="32"/>
      <c r="K25" s="32"/>
      <c r="S25" s="4"/>
    </row>
    <row r="26" spans="1:19" s="3" customFormat="1" ht="15.75" customHeight="1">
      <c r="A26" s="19" t="s">
        <v>32</v>
      </c>
      <c r="B26" s="19">
        <v>1</v>
      </c>
      <c r="C26" s="19">
        <v>6</v>
      </c>
      <c r="D26" s="19"/>
      <c r="E26" s="19"/>
      <c r="F26" s="19">
        <f t="shared" si="3"/>
        <v>7</v>
      </c>
      <c r="G26" s="20">
        <v>7</v>
      </c>
      <c r="H26" s="20">
        <f t="shared" si="4"/>
        <v>49</v>
      </c>
      <c r="I26" s="21" t="s">
        <v>10</v>
      </c>
      <c r="J26" s="32"/>
      <c r="K26" s="32"/>
      <c r="S26" s="4"/>
    </row>
    <row r="27" spans="1:19" s="3" customFormat="1" ht="15" customHeight="1">
      <c r="A27" s="19" t="s">
        <v>33</v>
      </c>
      <c r="B27" s="19">
        <v>26</v>
      </c>
      <c r="C27" s="19"/>
      <c r="D27" s="19"/>
      <c r="E27" s="19"/>
      <c r="F27" s="19">
        <f t="shared" si="3"/>
        <v>26</v>
      </c>
      <c r="G27" s="20">
        <v>5</v>
      </c>
      <c r="H27" s="20">
        <f t="shared" si="4"/>
        <v>130</v>
      </c>
      <c r="I27" s="21" t="s">
        <v>10</v>
      </c>
      <c r="J27" s="32"/>
      <c r="K27" s="32"/>
      <c r="S27" s="4"/>
    </row>
    <row r="28" spans="1:19" s="3" customFormat="1" ht="12.75">
      <c r="A28" s="19" t="s">
        <v>34</v>
      </c>
      <c r="B28" s="19">
        <v>12</v>
      </c>
      <c r="C28" s="19"/>
      <c r="D28" s="19"/>
      <c r="E28" s="19"/>
      <c r="F28" s="19">
        <f t="shared" si="3"/>
        <v>12</v>
      </c>
      <c r="G28" s="20">
        <v>7</v>
      </c>
      <c r="H28" s="20">
        <f t="shared" si="4"/>
        <v>84</v>
      </c>
      <c r="I28" s="21" t="s">
        <v>10</v>
      </c>
      <c r="J28" s="32"/>
      <c r="K28" s="32"/>
      <c r="S28" s="4"/>
    </row>
    <row r="29" spans="1:19" s="3" customFormat="1" ht="12.75">
      <c r="A29" s="19" t="s">
        <v>35</v>
      </c>
      <c r="B29" s="19"/>
      <c r="C29" s="19">
        <v>72</v>
      </c>
      <c r="D29" s="19">
        <f>1-1</f>
        <v>0</v>
      </c>
      <c r="E29" s="19"/>
      <c r="F29" s="19">
        <f t="shared" si="3"/>
        <v>72</v>
      </c>
      <c r="G29" s="20">
        <v>5</v>
      </c>
      <c r="H29" s="20">
        <f t="shared" si="4"/>
        <v>360</v>
      </c>
      <c r="I29" s="21" t="s">
        <v>10</v>
      </c>
      <c r="J29" s="32"/>
      <c r="K29" s="32"/>
      <c r="S29" s="4"/>
    </row>
    <row r="30" spans="1:19" s="3" customFormat="1" ht="12.75">
      <c r="A30" s="19" t="s">
        <v>36</v>
      </c>
      <c r="B30" s="19"/>
      <c r="C30" s="19">
        <v>3</v>
      </c>
      <c r="D30" s="19"/>
      <c r="E30" s="19"/>
      <c r="F30" s="19">
        <f t="shared" si="3"/>
        <v>3</v>
      </c>
      <c r="G30" s="20">
        <v>6</v>
      </c>
      <c r="H30" s="20">
        <f t="shared" si="4"/>
        <v>18</v>
      </c>
      <c r="I30" s="21" t="s">
        <v>10</v>
      </c>
      <c r="J30" s="32"/>
      <c r="K30" s="32"/>
      <c r="S30" s="4"/>
    </row>
    <row r="31" spans="1:19" s="3" customFormat="1" ht="12.75">
      <c r="A31" s="19" t="s">
        <v>37</v>
      </c>
      <c r="B31" s="19">
        <v>2</v>
      </c>
      <c r="C31" s="19"/>
      <c r="D31" s="19"/>
      <c r="E31" s="19"/>
      <c r="F31" s="19">
        <f t="shared" si="3"/>
        <v>2</v>
      </c>
      <c r="G31" s="20">
        <v>7</v>
      </c>
      <c r="H31" s="20">
        <f t="shared" si="4"/>
        <v>14</v>
      </c>
      <c r="I31" s="21" t="s">
        <v>10</v>
      </c>
      <c r="J31" s="32"/>
      <c r="K31" s="32"/>
      <c r="S31" s="4"/>
    </row>
    <row r="32" spans="1:19" s="3" customFormat="1" ht="12.75">
      <c r="A32" s="19" t="s">
        <v>38</v>
      </c>
      <c r="B32" s="19"/>
      <c r="C32" s="19"/>
      <c r="D32" s="19">
        <v>1</v>
      </c>
      <c r="E32" s="19"/>
      <c r="F32" s="19">
        <v>1</v>
      </c>
      <c r="G32" s="20">
        <v>5</v>
      </c>
      <c r="H32" s="20">
        <f t="shared" si="4"/>
        <v>5</v>
      </c>
      <c r="I32" s="21" t="s">
        <v>10</v>
      </c>
      <c r="J32" s="33"/>
      <c r="K32" s="33"/>
      <c r="S32" s="4"/>
    </row>
    <row r="33" spans="1:19" s="3" customFormat="1" ht="15.75">
      <c r="A33" s="31" t="s">
        <v>39</v>
      </c>
      <c r="B33" s="25"/>
      <c r="C33" s="25"/>
      <c r="D33" s="25"/>
      <c r="E33" s="25"/>
      <c r="F33" s="26">
        <f>SUM(F24:F31)</f>
        <v>202</v>
      </c>
      <c r="G33" s="27"/>
      <c r="H33" s="28">
        <f>SUM(H24:H31)</f>
        <v>1070</v>
      </c>
      <c r="I33" s="19"/>
      <c r="S33" s="4"/>
    </row>
    <row r="34" spans="1:21" s="3" customFormat="1" ht="18">
      <c r="A34" s="115" t="s">
        <v>40</v>
      </c>
      <c r="B34" s="116"/>
      <c r="C34" s="116"/>
      <c r="D34" s="116"/>
      <c r="E34" s="116"/>
      <c r="F34" s="116"/>
      <c r="G34" s="116"/>
      <c r="H34" s="116"/>
      <c r="I34" s="116"/>
      <c r="J34" s="9"/>
      <c r="K34" s="9"/>
      <c r="U34" s="4"/>
    </row>
    <row r="35" spans="1:21" s="3" customFormat="1" ht="38.25" customHeight="1">
      <c r="A35" s="31" t="s">
        <v>3</v>
      </c>
      <c r="B35" s="31" t="s">
        <v>41</v>
      </c>
      <c r="C35" s="49" t="s">
        <v>42</v>
      </c>
      <c r="D35" s="49"/>
      <c r="E35" s="118"/>
      <c r="F35" s="31" t="s">
        <v>27</v>
      </c>
      <c r="G35" s="14" t="s">
        <v>6</v>
      </c>
      <c r="H35" s="14" t="s">
        <v>7</v>
      </c>
      <c r="I35" s="14" t="s">
        <v>8</v>
      </c>
      <c r="U35" s="4"/>
    </row>
    <row r="36" spans="1:21" s="3" customFormat="1" ht="12.75">
      <c r="A36" s="17" t="s">
        <v>43</v>
      </c>
      <c r="B36" s="19"/>
      <c r="C36" s="19"/>
      <c r="D36" s="19"/>
      <c r="E36" s="19">
        <v>103</v>
      </c>
      <c r="F36" s="19">
        <f>B36+C36+D36+E36</f>
        <v>103</v>
      </c>
      <c r="G36" s="20">
        <v>4</v>
      </c>
      <c r="H36" s="20">
        <f>F36*G36</f>
        <v>412</v>
      </c>
      <c r="I36" s="21" t="s">
        <v>10</v>
      </c>
      <c r="U36" s="4"/>
    </row>
    <row r="37" spans="1:19" s="3" customFormat="1" ht="12.75">
      <c r="A37" s="19" t="s">
        <v>44</v>
      </c>
      <c r="B37" s="19">
        <v>27</v>
      </c>
      <c r="C37" s="19"/>
      <c r="D37" s="19"/>
      <c r="E37" s="19"/>
      <c r="F37" s="19">
        <f>B37+C37+D37+E37</f>
        <v>27</v>
      </c>
      <c r="G37" s="20">
        <v>3</v>
      </c>
      <c r="H37" s="20">
        <f>G37*F37</f>
        <v>81</v>
      </c>
      <c r="I37" s="21" t="s">
        <v>10</v>
      </c>
      <c r="J37" s="34"/>
      <c r="K37" s="34"/>
      <c r="S37" s="4"/>
    </row>
    <row r="38" spans="1:19" s="3" customFormat="1" ht="15" customHeight="1">
      <c r="A38" s="19" t="s">
        <v>44</v>
      </c>
      <c r="B38" s="19"/>
      <c r="C38" s="19">
        <v>28</v>
      </c>
      <c r="D38" s="19"/>
      <c r="E38" s="19"/>
      <c r="F38" s="19">
        <f>B38+C38+D38+E38</f>
        <v>28</v>
      </c>
      <c r="G38" s="20">
        <v>6</v>
      </c>
      <c r="H38" s="20">
        <f>G38*F38</f>
        <v>168</v>
      </c>
      <c r="I38" s="21" t="s">
        <v>10</v>
      </c>
      <c r="J38" s="34"/>
      <c r="K38" s="34"/>
      <c r="S38" s="4"/>
    </row>
    <row r="39" spans="1:19" s="3" customFormat="1" ht="15.75" customHeight="1">
      <c r="A39" s="19" t="s">
        <v>45</v>
      </c>
      <c r="B39" s="19"/>
      <c r="C39" s="19">
        <v>11</v>
      </c>
      <c r="D39" s="19"/>
      <c r="E39" s="19"/>
      <c r="F39" s="19">
        <f>B39+C39+D39+E39</f>
        <v>11</v>
      </c>
      <c r="G39" s="20">
        <v>8</v>
      </c>
      <c r="H39" s="20">
        <f>G39*F39</f>
        <v>88</v>
      </c>
      <c r="I39" s="21" t="s">
        <v>10</v>
      </c>
      <c r="J39" s="34"/>
      <c r="K39" s="34"/>
      <c r="S39" s="4"/>
    </row>
    <row r="40" spans="1:19" s="3" customFormat="1" ht="15" customHeight="1">
      <c r="A40" s="19" t="s">
        <v>46</v>
      </c>
      <c r="B40" s="19"/>
      <c r="C40" s="19">
        <v>14</v>
      </c>
      <c r="D40" s="19"/>
      <c r="E40" s="19"/>
      <c r="F40" s="19">
        <f>B40+C40+D40+E40</f>
        <v>14</v>
      </c>
      <c r="G40" s="20">
        <v>5</v>
      </c>
      <c r="H40" s="20">
        <f>G40*F40</f>
        <v>70</v>
      </c>
      <c r="I40" s="21" t="s">
        <v>10</v>
      </c>
      <c r="J40" s="34"/>
      <c r="K40" s="34"/>
      <c r="S40" s="4"/>
    </row>
    <row r="41" spans="1:19" s="3" customFormat="1" ht="15" customHeight="1">
      <c r="A41" s="31" t="s">
        <v>47</v>
      </c>
      <c r="B41" s="25"/>
      <c r="C41" s="25"/>
      <c r="D41" s="25"/>
      <c r="E41" s="25"/>
      <c r="F41" s="26">
        <f>SUM(F36:F40)</f>
        <v>183</v>
      </c>
      <c r="G41" s="27"/>
      <c r="H41" s="28">
        <f>SUM(H36:H40)</f>
        <v>819</v>
      </c>
      <c r="I41" s="19"/>
      <c r="J41" s="34"/>
      <c r="K41" s="34"/>
      <c r="S41" s="4"/>
    </row>
    <row r="42" spans="1:21" s="3" customFormat="1" ht="18" customHeight="1">
      <c r="A42" s="115" t="s">
        <v>48</v>
      </c>
      <c r="B42" s="116"/>
      <c r="C42" s="116"/>
      <c r="D42" s="116"/>
      <c r="E42" s="116"/>
      <c r="F42" s="116"/>
      <c r="G42" s="116"/>
      <c r="H42" s="116"/>
      <c r="I42" s="116"/>
      <c r="J42" s="9"/>
      <c r="K42" s="9"/>
      <c r="L42" s="34"/>
      <c r="U42" s="4"/>
    </row>
    <row r="43" spans="1:19" s="3" customFormat="1" ht="51">
      <c r="A43" s="31" t="s">
        <v>3</v>
      </c>
      <c r="B43" s="31"/>
      <c r="C43" s="49"/>
      <c r="D43" s="49"/>
      <c r="E43" s="49"/>
      <c r="F43" s="31" t="s">
        <v>27</v>
      </c>
      <c r="G43" s="14" t="s">
        <v>6</v>
      </c>
      <c r="H43" s="14" t="s">
        <v>7</v>
      </c>
      <c r="I43" s="14" t="s">
        <v>8</v>
      </c>
      <c r="J43" s="34"/>
      <c r="K43" s="34"/>
      <c r="S43" s="4"/>
    </row>
    <row r="44" spans="1:19" s="3" customFormat="1" ht="44.25" customHeight="1">
      <c r="A44" s="19" t="s">
        <v>49</v>
      </c>
      <c r="B44" s="19"/>
      <c r="C44" s="19"/>
      <c r="D44" s="19"/>
      <c r="E44" s="19">
        <v>4</v>
      </c>
      <c r="F44" s="19">
        <f>C44+D44+E44</f>
        <v>4</v>
      </c>
      <c r="G44" s="20">
        <v>25</v>
      </c>
      <c r="H44" s="20">
        <f>G44*F44</f>
        <v>100</v>
      </c>
      <c r="I44" s="21" t="s">
        <v>10</v>
      </c>
      <c r="J44" s="34"/>
      <c r="K44" s="34"/>
      <c r="S44" s="4"/>
    </row>
    <row r="45" spans="1:19" s="3" customFormat="1" ht="18" customHeight="1">
      <c r="A45" s="31" t="s">
        <v>50</v>
      </c>
      <c r="B45" s="25"/>
      <c r="C45" s="25"/>
      <c r="D45" s="25"/>
      <c r="E45" s="25"/>
      <c r="F45" s="26">
        <f>SUM(F44:F44)</f>
        <v>4</v>
      </c>
      <c r="G45" s="27"/>
      <c r="H45" s="28">
        <f>SUM(H44:H44)</f>
        <v>100</v>
      </c>
      <c r="I45" s="19"/>
      <c r="J45" s="34"/>
      <c r="K45" s="34"/>
      <c r="S45" s="4"/>
    </row>
    <row r="46" spans="1:21" s="3" customFormat="1" ht="18" customHeight="1">
      <c r="A46" s="115" t="s">
        <v>51</v>
      </c>
      <c r="B46" s="116"/>
      <c r="C46" s="116"/>
      <c r="D46" s="116"/>
      <c r="E46" s="116"/>
      <c r="F46" s="116"/>
      <c r="G46" s="116"/>
      <c r="H46" s="116"/>
      <c r="I46" s="116"/>
      <c r="J46" s="9"/>
      <c r="K46" s="9"/>
      <c r="L46" s="34"/>
      <c r="U46" s="4"/>
    </row>
    <row r="47" spans="1:20" ht="51">
      <c r="A47" s="31" t="s">
        <v>3</v>
      </c>
      <c r="B47" s="31"/>
      <c r="C47" s="30"/>
      <c r="D47" s="30"/>
      <c r="E47" s="30"/>
      <c r="F47" s="35" t="s">
        <v>5</v>
      </c>
      <c r="G47" s="14" t="s">
        <v>6</v>
      </c>
      <c r="H47" s="14" t="s">
        <v>7</v>
      </c>
      <c r="I47" s="14" t="s">
        <v>8</v>
      </c>
      <c r="J47" s="34"/>
      <c r="K47" s="34"/>
      <c r="S47" s="4"/>
      <c r="T47" s="4"/>
    </row>
    <row r="48" spans="1:20" ht="45.75" customHeight="1">
      <c r="A48" s="17" t="s">
        <v>52</v>
      </c>
      <c r="B48" s="19"/>
      <c r="C48" s="19"/>
      <c r="D48" s="19"/>
      <c r="E48" s="19"/>
      <c r="F48" s="19">
        <v>21</v>
      </c>
      <c r="G48" s="20">
        <v>4</v>
      </c>
      <c r="H48" s="20">
        <f aca="true" t="shared" si="5" ref="H48:H71">G48*F48</f>
        <v>84</v>
      </c>
      <c r="I48" s="21" t="s">
        <v>10</v>
      </c>
      <c r="J48" s="34"/>
      <c r="K48" s="34"/>
      <c r="S48" s="4"/>
      <c r="T48" s="4"/>
    </row>
    <row r="49" spans="1:20" ht="38.25">
      <c r="A49" s="17" t="s">
        <v>53</v>
      </c>
      <c r="B49" s="19"/>
      <c r="C49" s="19"/>
      <c r="D49" s="19"/>
      <c r="E49" s="19"/>
      <c r="F49" s="19">
        <v>10</v>
      </c>
      <c r="G49" s="20">
        <v>4</v>
      </c>
      <c r="H49" s="20">
        <f t="shared" si="5"/>
        <v>40</v>
      </c>
      <c r="I49" s="21" t="s">
        <v>10</v>
      </c>
      <c r="J49" s="34"/>
      <c r="K49" s="34"/>
      <c r="S49" s="4"/>
      <c r="T49" s="4"/>
    </row>
    <row r="50" spans="1:20" ht="15.75">
      <c r="A50" s="17" t="s">
        <v>54</v>
      </c>
      <c r="B50" s="31"/>
      <c r="C50" s="30"/>
      <c r="D50" s="30"/>
      <c r="E50" s="30"/>
      <c r="F50" s="19">
        <v>18</v>
      </c>
      <c r="G50" s="20">
        <v>1</v>
      </c>
      <c r="H50" s="20">
        <f t="shared" si="5"/>
        <v>18</v>
      </c>
      <c r="I50" s="21" t="s">
        <v>10</v>
      </c>
      <c r="J50" s="34"/>
      <c r="K50" s="34"/>
      <c r="S50" s="4"/>
      <c r="T50" s="4"/>
    </row>
    <row r="51" spans="1:20" ht="15.75">
      <c r="A51" s="17" t="s">
        <v>55</v>
      </c>
      <c r="B51" s="31"/>
      <c r="C51" s="30"/>
      <c r="D51" s="30"/>
      <c r="E51" s="30"/>
      <c r="F51" s="19">
        <v>12</v>
      </c>
      <c r="G51" s="20">
        <v>5</v>
      </c>
      <c r="H51" s="20">
        <f t="shared" si="5"/>
        <v>60</v>
      </c>
      <c r="I51" s="21" t="s">
        <v>10</v>
      </c>
      <c r="J51" s="34"/>
      <c r="K51" s="34"/>
      <c r="S51" s="4"/>
      <c r="T51" s="4"/>
    </row>
    <row r="52" spans="1:20" ht="15.75">
      <c r="A52" s="17" t="s">
        <v>56</v>
      </c>
      <c r="B52" s="31"/>
      <c r="C52" s="30"/>
      <c r="D52" s="30"/>
      <c r="E52" s="30"/>
      <c r="F52" s="19">
        <v>8</v>
      </c>
      <c r="G52" s="20">
        <v>4</v>
      </c>
      <c r="H52" s="20">
        <f t="shared" si="5"/>
        <v>32</v>
      </c>
      <c r="I52" s="21" t="s">
        <v>10</v>
      </c>
      <c r="J52" s="34"/>
      <c r="K52" s="34"/>
      <c r="S52" s="4"/>
      <c r="T52" s="4"/>
    </row>
    <row r="53" spans="1:20" ht="15.75">
      <c r="A53" s="17" t="s">
        <v>57</v>
      </c>
      <c r="B53" s="31"/>
      <c r="C53" s="30"/>
      <c r="D53" s="30"/>
      <c r="E53" s="30"/>
      <c r="F53" s="19">
        <v>3</v>
      </c>
      <c r="G53" s="20">
        <v>4</v>
      </c>
      <c r="H53" s="20">
        <f t="shared" si="5"/>
        <v>12</v>
      </c>
      <c r="I53" s="21" t="s">
        <v>10</v>
      </c>
      <c r="J53" s="34"/>
      <c r="K53" s="34"/>
      <c r="S53" s="4"/>
      <c r="T53" s="4"/>
    </row>
    <row r="54" spans="1:20" ht="15.75">
      <c r="A54" s="17" t="s">
        <v>58</v>
      </c>
      <c r="B54" s="31"/>
      <c r="C54" s="30"/>
      <c r="D54" s="30"/>
      <c r="E54" s="30"/>
      <c r="F54" s="19">
        <f>18+9</f>
        <v>27</v>
      </c>
      <c r="G54" s="20">
        <v>1</v>
      </c>
      <c r="H54" s="20">
        <f t="shared" si="5"/>
        <v>27</v>
      </c>
      <c r="I54" s="21" t="s">
        <v>10</v>
      </c>
      <c r="J54" s="34"/>
      <c r="K54" s="34"/>
      <c r="S54" s="4"/>
      <c r="T54" s="4"/>
    </row>
    <row r="55" spans="1:20" ht="15.75">
      <c r="A55" s="17" t="s">
        <v>59</v>
      </c>
      <c r="B55" s="31"/>
      <c r="C55" s="30"/>
      <c r="D55" s="30"/>
      <c r="E55" s="30"/>
      <c r="F55" s="19">
        <v>1</v>
      </c>
      <c r="G55" s="20">
        <v>2</v>
      </c>
      <c r="H55" s="20">
        <f t="shared" si="5"/>
        <v>2</v>
      </c>
      <c r="I55" s="21" t="s">
        <v>10</v>
      </c>
      <c r="J55" s="34"/>
      <c r="K55" s="34"/>
      <c r="S55" s="4"/>
      <c r="T55" s="4"/>
    </row>
    <row r="56" spans="1:20" ht="12.75">
      <c r="A56" s="17" t="s">
        <v>60</v>
      </c>
      <c r="B56" s="19"/>
      <c r="C56" s="19"/>
      <c r="D56" s="19"/>
      <c r="E56" s="19"/>
      <c r="F56" s="19">
        <v>6</v>
      </c>
      <c r="G56" s="20">
        <v>5</v>
      </c>
      <c r="H56" s="20">
        <f t="shared" si="5"/>
        <v>30</v>
      </c>
      <c r="I56" s="21" t="s">
        <v>10</v>
      </c>
      <c r="J56" s="34"/>
      <c r="K56" s="34"/>
      <c r="S56" s="4"/>
      <c r="T56" s="4"/>
    </row>
    <row r="57" spans="1:20" ht="12.75">
      <c r="A57" s="19" t="s">
        <v>61</v>
      </c>
      <c r="B57" s="19"/>
      <c r="C57" s="19"/>
      <c r="D57" s="19"/>
      <c r="E57" s="19"/>
      <c r="F57" s="19">
        <v>1</v>
      </c>
      <c r="G57" s="20">
        <v>5</v>
      </c>
      <c r="H57" s="20">
        <f t="shared" si="5"/>
        <v>5</v>
      </c>
      <c r="I57" s="21" t="s">
        <v>10</v>
      </c>
      <c r="J57" s="34"/>
      <c r="K57" s="34"/>
      <c r="S57" s="4"/>
      <c r="T57" s="4"/>
    </row>
    <row r="58" spans="1:20" ht="12.75">
      <c r="A58" s="19" t="s">
        <v>62</v>
      </c>
      <c r="B58" s="19"/>
      <c r="C58" s="19"/>
      <c r="D58" s="19"/>
      <c r="E58" s="19"/>
      <c r="F58" s="19">
        <v>1</v>
      </c>
      <c r="G58" s="20">
        <v>5</v>
      </c>
      <c r="H58" s="20">
        <f t="shared" si="5"/>
        <v>5</v>
      </c>
      <c r="I58" s="21" t="s">
        <v>10</v>
      </c>
      <c r="J58" s="34"/>
      <c r="K58" s="34"/>
      <c r="S58" s="4"/>
      <c r="T58" s="4"/>
    </row>
    <row r="59" spans="1:20" ht="12.75">
      <c r="A59" s="12" t="s">
        <v>63</v>
      </c>
      <c r="B59" s="12"/>
      <c r="C59" s="12"/>
      <c r="D59" s="12"/>
      <c r="E59" s="12"/>
      <c r="F59" s="12">
        <v>3</v>
      </c>
      <c r="G59" s="20">
        <v>4</v>
      </c>
      <c r="H59" s="20">
        <f t="shared" si="5"/>
        <v>12</v>
      </c>
      <c r="I59" s="21" t="s">
        <v>10</v>
      </c>
      <c r="J59" s="34"/>
      <c r="K59" s="34"/>
      <c r="S59" s="4"/>
      <c r="T59" s="4"/>
    </row>
    <row r="60" spans="1:20" ht="12.75">
      <c r="A60" s="12" t="s">
        <v>64</v>
      </c>
      <c r="B60" s="12"/>
      <c r="C60" s="12"/>
      <c r="D60" s="12"/>
      <c r="E60" s="12"/>
      <c r="F60" s="12">
        <v>1</v>
      </c>
      <c r="G60" s="20">
        <v>5</v>
      </c>
      <c r="H60" s="20">
        <f t="shared" si="5"/>
        <v>5</v>
      </c>
      <c r="I60" s="21" t="s">
        <v>10</v>
      </c>
      <c r="J60" s="34"/>
      <c r="K60" s="34"/>
      <c r="S60" s="4"/>
      <c r="T60" s="4"/>
    </row>
    <row r="61" spans="1:20" ht="12.75">
      <c r="A61" s="12" t="s">
        <v>65</v>
      </c>
      <c r="B61" s="12"/>
      <c r="C61" s="12"/>
      <c r="D61" s="12"/>
      <c r="E61" s="12"/>
      <c r="F61" s="12">
        <v>4</v>
      </c>
      <c r="G61" s="20">
        <v>1</v>
      </c>
      <c r="H61" s="20">
        <f t="shared" si="5"/>
        <v>4</v>
      </c>
      <c r="I61" s="21" t="s">
        <v>10</v>
      </c>
      <c r="J61" s="34"/>
      <c r="K61" s="34"/>
      <c r="S61" s="4"/>
      <c r="T61" s="4"/>
    </row>
    <row r="62" spans="1:20" ht="12.75">
      <c r="A62" s="12" t="s">
        <v>66</v>
      </c>
      <c r="B62" s="12"/>
      <c r="C62" s="12"/>
      <c r="D62" s="12"/>
      <c r="E62" s="12"/>
      <c r="F62" s="12">
        <v>1</v>
      </c>
      <c r="G62" s="20">
        <v>5</v>
      </c>
      <c r="H62" s="20">
        <f t="shared" si="5"/>
        <v>5</v>
      </c>
      <c r="I62" s="21" t="s">
        <v>10</v>
      </c>
      <c r="J62" s="34"/>
      <c r="K62" s="34"/>
      <c r="S62" s="4"/>
      <c r="T62" s="4"/>
    </row>
    <row r="63" spans="1:20" ht="12.75">
      <c r="A63" s="12" t="s">
        <v>67</v>
      </c>
      <c r="B63" s="12"/>
      <c r="C63" s="12"/>
      <c r="D63" s="12"/>
      <c r="E63" s="12"/>
      <c r="F63" s="12">
        <v>50</v>
      </c>
      <c r="G63" s="20">
        <v>0.5</v>
      </c>
      <c r="H63" s="20">
        <f t="shared" si="5"/>
        <v>25</v>
      </c>
      <c r="I63" s="21" t="s">
        <v>10</v>
      </c>
      <c r="J63" s="34"/>
      <c r="K63" s="34"/>
      <c r="S63" s="4"/>
      <c r="T63" s="4"/>
    </row>
    <row r="64" spans="1:20" ht="12.75">
      <c r="A64" s="12" t="s">
        <v>68</v>
      </c>
      <c r="B64" s="12"/>
      <c r="C64" s="12"/>
      <c r="D64" s="12"/>
      <c r="E64" s="12"/>
      <c r="F64" s="12">
        <v>2</v>
      </c>
      <c r="G64" s="20">
        <v>1</v>
      </c>
      <c r="H64" s="20">
        <f t="shared" si="5"/>
        <v>2</v>
      </c>
      <c r="I64" s="21" t="s">
        <v>10</v>
      </c>
      <c r="J64" s="34"/>
      <c r="K64" s="34"/>
      <c r="S64" s="4"/>
      <c r="T64" s="4"/>
    </row>
    <row r="65" spans="1:20" ht="12.75">
      <c r="A65" s="18" t="s">
        <v>69</v>
      </c>
      <c r="B65" s="12"/>
      <c r="C65" s="12"/>
      <c r="D65" s="12"/>
      <c r="E65" s="12"/>
      <c r="F65" s="12">
        <v>4</v>
      </c>
      <c r="G65" s="20">
        <v>3</v>
      </c>
      <c r="H65" s="20">
        <f t="shared" si="5"/>
        <v>12</v>
      </c>
      <c r="I65" s="21" t="s">
        <v>10</v>
      </c>
      <c r="J65" s="34"/>
      <c r="K65" s="34"/>
      <c r="S65" s="4"/>
      <c r="T65" s="4"/>
    </row>
    <row r="66" spans="1:20" ht="12.75">
      <c r="A66" s="12" t="s">
        <v>70</v>
      </c>
      <c r="B66" s="12"/>
      <c r="C66" s="12"/>
      <c r="D66" s="12"/>
      <c r="E66" s="12"/>
      <c r="F66" s="12">
        <v>1</v>
      </c>
      <c r="G66" s="20">
        <v>5</v>
      </c>
      <c r="H66" s="20">
        <f t="shared" si="5"/>
        <v>5</v>
      </c>
      <c r="I66" s="21" t="s">
        <v>10</v>
      </c>
      <c r="J66" s="34"/>
      <c r="K66" s="34"/>
      <c r="S66" s="4"/>
      <c r="T66" s="4"/>
    </row>
    <row r="67" spans="1:20" ht="12.75">
      <c r="A67" s="12" t="s">
        <v>71</v>
      </c>
      <c r="B67" s="12"/>
      <c r="C67" s="12"/>
      <c r="D67" s="12"/>
      <c r="E67" s="12"/>
      <c r="F67" s="12">
        <v>7</v>
      </c>
      <c r="G67" s="20">
        <v>1</v>
      </c>
      <c r="H67" s="20">
        <f t="shared" si="5"/>
        <v>7</v>
      </c>
      <c r="I67" s="21" t="s">
        <v>10</v>
      </c>
      <c r="J67" s="34"/>
      <c r="K67" s="34"/>
      <c r="S67" s="4"/>
      <c r="T67" s="4"/>
    </row>
    <row r="68" spans="1:20" ht="12.75">
      <c r="A68" s="12" t="s">
        <v>72</v>
      </c>
      <c r="B68" s="12"/>
      <c r="C68" s="12"/>
      <c r="D68" s="12"/>
      <c r="E68" s="12"/>
      <c r="F68" s="12">
        <v>4</v>
      </c>
      <c r="G68" s="20">
        <v>1</v>
      </c>
      <c r="H68" s="20">
        <f t="shared" si="5"/>
        <v>4</v>
      </c>
      <c r="I68" s="21" t="s">
        <v>10</v>
      </c>
      <c r="J68" s="34"/>
      <c r="K68" s="34"/>
      <c r="S68" s="4"/>
      <c r="T68" s="4"/>
    </row>
    <row r="69" spans="1:20" ht="12.75">
      <c r="A69" s="12" t="s">
        <v>73</v>
      </c>
      <c r="B69" s="12"/>
      <c r="C69" s="12"/>
      <c r="D69" s="12"/>
      <c r="E69" s="12"/>
      <c r="F69" s="12">
        <v>11</v>
      </c>
      <c r="G69" s="20">
        <v>2</v>
      </c>
      <c r="H69" s="20">
        <f t="shared" si="5"/>
        <v>22</v>
      </c>
      <c r="I69" s="21" t="s">
        <v>10</v>
      </c>
      <c r="J69" s="34"/>
      <c r="K69" s="34"/>
      <c r="S69" s="4"/>
      <c r="T69" s="4"/>
    </row>
    <row r="70" spans="1:20" ht="12.75">
      <c r="A70" s="12" t="s">
        <v>74</v>
      </c>
      <c r="B70" s="12"/>
      <c r="C70" s="12"/>
      <c r="D70" s="12"/>
      <c r="E70" s="12"/>
      <c r="F70" s="12">
        <v>71</v>
      </c>
      <c r="G70" s="20">
        <v>0.3</v>
      </c>
      <c r="H70" s="20">
        <f t="shared" si="5"/>
        <v>21.3</v>
      </c>
      <c r="I70" s="21" t="s">
        <v>10</v>
      </c>
      <c r="J70" s="34"/>
      <c r="K70" s="34"/>
      <c r="S70" s="4"/>
      <c r="T70" s="4"/>
    </row>
    <row r="71" spans="1:20" ht="12.75">
      <c r="A71" s="18" t="s">
        <v>75</v>
      </c>
      <c r="B71" s="12"/>
      <c r="C71" s="12"/>
      <c r="D71" s="12"/>
      <c r="E71" s="12"/>
      <c r="F71" s="12">
        <v>2</v>
      </c>
      <c r="G71" s="20">
        <v>1</v>
      </c>
      <c r="H71" s="20">
        <f t="shared" si="5"/>
        <v>2</v>
      </c>
      <c r="I71" s="21" t="s">
        <v>10</v>
      </c>
      <c r="J71" s="34"/>
      <c r="K71" s="34"/>
      <c r="S71" s="4"/>
      <c r="T71" s="4"/>
    </row>
    <row r="72" spans="1:21" s="3" customFormat="1" ht="19.5" customHeight="1">
      <c r="A72" s="103" t="s">
        <v>76</v>
      </c>
      <c r="B72" s="118"/>
      <c r="C72" s="25"/>
      <c r="D72" s="25"/>
      <c r="E72" s="25"/>
      <c r="F72" s="25">
        <f>SUM(F48:F71)</f>
        <v>269</v>
      </c>
      <c r="G72" s="20"/>
      <c r="H72" s="28">
        <f>SUM(H48:H71)</f>
        <v>441.3</v>
      </c>
      <c r="I72" s="19"/>
      <c r="J72" s="36"/>
      <c r="K72" s="36"/>
      <c r="L72" s="34"/>
      <c r="U72" s="4"/>
    </row>
    <row r="73" spans="1:21" s="38" customFormat="1" ht="42" customHeight="1">
      <c r="A73" s="113" t="s">
        <v>77</v>
      </c>
      <c r="B73" s="113"/>
      <c r="C73" s="113"/>
      <c r="D73" s="113"/>
      <c r="E73" s="113"/>
      <c r="F73" s="113"/>
      <c r="G73" s="113"/>
      <c r="H73" s="113"/>
      <c r="I73" s="114"/>
      <c r="J73" s="8"/>
      <c r="K73" s="8"/>
      <c r="L73" s="37"/>
      <c r="U73" s="39"/>
    </row>
    <row r="74" spans="1:21" s="3" customFormat="1" ht="45.75" customHeight="1">
      <c r="A74" s="119" t="s">
        <v>78</v>
      </c>
      <c r="B74" s="120"/>
      <c r="C74" s="31"/>
      <c r="D74" s="14"/>
      <c r="E74" s="21"/>
      <c r="F74" s="21"/>
      <c r="G74" s="105" t="s">
        <v>6</v>
      </c>
      <c r="H74" s="105" t="s">
        <v>7</v>
      </c>
      <c r="I74" s="105" t="s">
        <v>8</v>
      </c>
      <c r="L74" s="34"/>
      <c r="U74" s="4"/>
    </row>
    <row r="75" spans="1:21" s="3" customFormat="1" ht="28.5" customHeight="1">
      <c r="A75" s="49" t="s">
        <v>3</v>
      </c>
      <c r="B75" s="49"/>
      <c r="C75" s="14"/>
      <c r="D75" s="14"/>
      <c r="E75" s="21"/>
      <c r="F75" s="14" t="s">
        <v>79</v>
      </c>
      <c r="G75" s="105"/>
      <c r="H75" s="105"/>
      <c r="I75" s="105"/>
      <c r="L75" s="34"/>
      <c r="U75" s="4"/>
    </row>
    <row r="76" spans="1:19" s="3" customFormat="1" ht="26.25" customHeight="1">
      <c r="A76" s="121" t="s">
        <v>80</v>
      </c>
      <c r="B76" s="121"/>
      <c r="C76" s="25"/>
      <c r="D76" s="21"/>
      <c r="E76" s="21"/>
      <c r="F76" s="25">
        <v>1</v>
      </c>
      <c r="G76" s="40">
        <v>5</v>
      </c>
      <c r="H76" s="40">
        <f aca="true" t="shared" si="6" ref="H76:H99">G76*F76</f>
        <v>5</v>
      </c>
      <c r="I76" s="21" t="s">
        <v>10</v>
      </c>
      <c r="J76" s="34"/>
      <c r="K76" s="34"/>
      <c r="S76" s="4"/>
    </row>
    <row r="77" spans="1:19" s="3" customFormat="1" ht="14.25">
      <c r="A77" s="121" t="s">
        <v>81</v>
      </c>
      <c r="B77" s="121"/>
      <c r="C77" s="25"/>
      <c r="D77" s="21"/>
      <c r="E77" s="21"/>
      <c r="F77" s="25">
        <v>3</v>
      </c>
      <c r="G77" s="40">
        <v>5</v>
      </c>
      <c r="H77" s="40">
        <f t="shared" si="6"/>
        <v>15</v>
      </c>
      <c r="I77" s="21" t="s">
        <v>10</v>
      </c>
      <c r="J77" s="34"/>
      <c r="K77" s="34"/>
      <c r="S77" s="4"/>
    </row>
    <row r="78" spans="1:19" s="3" customFormat="1" ht="14.25">
      <c r="A78" s="121" t="s">
        <v>82</v>
      </c>
      <c r="B78" s="121"/>
      <c r="C78" s="25"/>
      <c r="D78" s="21"/>
      <c r="E78" s="21"/>
      <c r="F78" s="25">
        <v>8</v>
      </c>
      <c r="G78" s="40">
        <v>5</v>
      </c>
      <c r="H78" s="40">
        <f t="shared" si="6"/>
        <v>40</v>
      </c>
      <c r="I78" s="21" t="s">
        <v>10</v>
      </c>
      <c r="J78" s="34"/>
      <c r="K78" s="34"/>
      <c r="S78" s="4"/>
    </row>
    <row r="79" spans="1:21" s="3" customFormat="1" ht="14.25">
      <c r="A79" s="121" t="s">
        <v>83</v>
      </c>
      <c r="B79" s="121"/>
      <c r="C79" s="25"/>
      <c r="D79" s="21"/>
      <c r="E79" s="21"/>
      <c r="F79" s="25">
        <v>4</v>
      </c>
      <c r="G79" s="40">
        <v>2</v>
      </c>
      <c r="H79" s="40">
        <f t="shared" si="6"/>
        <v>8</v>
      </c>
      <c r="I79" s="21" t="s">
        <v>10</v>
      </c>
      <c r="J79" s="34"/>
      <c r="K79" s="34"/>
      <c r="S79" s="4"/>
      <c r="U79" s="4"/>
    </row>
    <row r="80" spans="1:21" s="3" customFormat="1" ht="14.25">
      <c r="A80" s="121" t="s">
        <v>84</v>
      </c>
      <c r="B80" s="121"/>
      <c r="C80" s="25"/>
      <c r="D80" s="21"/>
      <c r="E80" s="21"/>
      <c r="F80" s="25">
        <v>4</v>
      </c>
      <c r="G80" s="40">
        <v>2</v>
      </c>
      <c r="H80" s="40">
        <f t="shared" si="6"/>
        <v>8</v>
      </c>
      <c r="I80" s="21" t="s">
        <v>10</v>
      </c>
      <c r="J80" s="34"/>
      <c r="K80" s="34"/>
      <c r="S80" s="4"/>
      <c r="U80" s="4"/>
    </row>
    <row r="81" spans="1:21" s="3" customFormat="1" ht="14.25">
      <c r="A81" s="121" t="s">
        <v>85</v>
      </c>
      <c r="B81" s="121"/>
      <c r="C81" s="25"/>
      <c r="D81" s="21"/>
      <c r="E81" s="21"/>
      <c r="F81" s="25">
        <v>1</v>
      </c>
      <c r="G81" s="40">
        <v>10</v>
      </c>
      <c r="H81" s="40">
        <f t="shared" si="6"/>
        <v>10</v>
      </c>
      <c r="I81" s="21" t="s">
        <v>10</v>
      </c>
      <c r="J81" s="34"/>
      <c r="K81" s="34"/>
      <c r="S81" s="4"/>
      <c r="U81" s="4"/>
    </row>
    <row r="82" spans="1:21" s="3" customFormat="1" ht="14.25">
      <c r="A82" s="121" t="s">
        <v>86</v>
      </c>
      <c r="B82" s="121"/>
      <c r="C82" s="25"/>
      <c r="D82" s="21"/>
      <c r="E82" s="21"/>
      <c r="F82" s="25">
        <v>1</v>
      </c>
      <c r="G82" s="40">
        <v>10</v>
      </c>
      <c r="H82" s="40">
        <f t="shared" si="6"/>
        <v>10</v>
      </c>
      <c r="I82" s="21" t="s">
        <v>10</v>
      </c>
      <c r="J82" s="34"/>
      <c r="K82" s="34"/>
      <c r="S82" s="4"/>
      <c r="U82" s="4"/>
    </row>
    <row r="83" spans="1:21" s="3" customFormat="1" ht="14.25">
      <c r="A83" s="121" t="s">
        <v>87</v>
      </c>
      <c r="B83" s="121"/>
      <c r="C83" s="25"/>
      <c r="D83" s="21"/>
      <c r="E83" s="21"/>
      <c r="F83" s="25">
        <v>1</v>
      </c>
      <c r="G83" s="40">
        <v>12</v>
      </c>
      <c r="H83" s="40">
        <f t="shared" si="6"/>
        <v>12</v>
      </c>
      <c r="I83" s="21" t="s">
        <v>10</v>
      </c>
      <c r="J83" s="34"/>
      <c r="K83" s="34"/>
      <c r="S83" s="4"/>
      <c r="U83" s="4"/>
    </row>
    <row r="84" spans="1:19" ht="14.25">
      <c r="A84" s="121" t="s">
        <v>88</v>
      </c>
      <c r="B84" s="121"/>
      <c r="C84" s="25"/>
      <c r="D84" s="21"/>
      <c r="E84" s="21"/>
      <c r="F84" s="25">
        <v>1</v>
      </c>
      <c r="G84" s="40">
        <v>6</v>
      </c>
      <c r="H84" s="40">
        <f t="shared" si="6"/>
        <v>6</v>
      </c>
      <c r="I84" s="21" t="s">
        <v>10</v>
      </c>
      <c r="J84" s="34"/>
      <c r="K84" s="34"/>
      <c r="S84" s="4"/>
    </row>
    <row r="85" spans="1:19" ht="14.25">
      <c r="A85" s="121" t="s">
        <v>89</v>
      </c>
      <c r="B85" s="121"/>
      <c r="C85" s="25"/>
      <c r="D85" s="21"/>
      <c r="E85" s="21"/>
      <c r="F85" s="25">
        <v>3</v>
      </c>
      <c r="G85" s="40">
        <v>5</v>
      </c>
      <c r="H85" s="40">
        <f t="shared" si="6"/>
        <v>15</v>
      </c>
      <c r="I85" s="21" t="s">
        <v>10</v>
      </c>
      <c r="J85" s="34"/>
      <c r="K85" s="34"/>
      <c r="S85" s="4"/>
    </row>
    <row r="86" spans="1:19" ht="14.25">
      <c r="A86" s="121" t="s">
        <v>90</v>
      </c>
      <c r="B86" s="121"/>
      <c r="C86" s="25"/>
      <c r="D86" s="21"/>
      <c r="E86" s="21"/>
      <c r="F86" s="25">
        <v>8</v>
      </c>
      <c r="G86" s="40">
        <v>5</v>
      </c>
      <c r="H86" s="40">
        <f t="shared" si="6"/>
        <v>40</v>
      </c>
      <c r="I86" s="21" t="s">
        <v>10</v>
      </c>
      <c r="J86" s="34"/>
      <c r="K86" s="34"/>
      <c r="S86" s="4"/>
    </row>
    <row r="87" spans="1:19" ht="14.25">
      <c r="A87" s="121" t="s">
        <v>91</v>
      </c>
      <c r="B87" s="121"/>
      <c r="C87" s="25"/>
      <c r="D87" s="21"/>
      <c r="E87" s="21"/>
      <c r="F87" s="25">
        <v>2</v>
      </c>
      <c r="G87" s="40">
        <v>7</v>
      </c>
      <c r="H87" s="40">
        <f t="shared" si="6"/>
        <v>14</v>
      </c>
      <c r="I87" s="21" t="s">
        <v>10</v>
      </c>
      <c r="J87" s="34"/>
      <c r="K87" s="34"/>
      <c r="S87" s="4"/>
    </row>
    <row r="88" spans="1:19" ht="14.25">
      <c r="A88" s="121" t="s">
        <v>92</v>
      </c>
      <c r="B88" s="121"/>
      <c r="C88" s="25"/>
      <c r="D88" s="21"/>
      <c r="E88" s="21"/>
      <c r="F88" s="25">
        <v>13</v>
      </c>
      <c r="G88" s="40">
        <v>10</v>
      </c>
      <c r="H88" s="40">
        <f t="shared" si="6"/>
        <v>130</v>
      </c>
      <c r="I88" s="21" t="s">
        <v>10</v>
      </c>
      <c r="J88" s="34"/>
      <c r="K88" s="34"/>
      <c r="S88" s="4"/>
    </row>
    <row r="89" spans="1:19" ht="14.25">
      <c r="A89" s="121" t="s">
        <v>93</v>
      </c>
      <c r="B89" s="121"/>
      <c r="C89" s="25"/>
      <c r="D89" s="21"/>
      <c r="E89" s="21"/>
      <c r="F89" s="25">
        <v>14</v>
      </c>
      <c r="G89" s="40">
        <v>5</v>
      </c>
      <c r="H89" s="40">
        <f t="shared" si="6"/>
        <v>70</v>
      </c>
      <c r="I89" s="21" t="s">
        <v>10</v>
      </c>
      <c r="J89" s="34"/>
      <c r="K89" s="34"/>
      <c r="S89" s="4"/>
    </row>
    <row r="90" spans="1:19" ht="14.25">
      <c r="A90" s="121" t="s">
        <v>94</v>
      </c>
      <c r="B90" s="121"/>
      <c r="C90" s="25"/>
      <c r="D90" s="21"/>
      <c r="E90" s="21"/>
      <c r="F90" s="25">
        <v>3</v>
      </c>
      <c r="G90" s="40">
        <v>25</v>
      </c>
      <c r="H90" s="40">
        <f t="shared" si="6"/>
        <v>75</v>
      </c>
      <c r="I90" s="21" t="s">
        <v>10</v>
      </c>
      <c r="J90" s="34"/>
      <c r="K90" s="34"/>
      <c r="S90" s="4"/>
    </row>
    <row r="91" spans="1:19" ht="14.25">
      <c r="A91" s="121" t="s">
        <v>95</v>
      </c>
      <c r="B91" s="121"/>
      <c r="C91" s="25"/>
      <c r="D91" s="21"/>
      <c r="E91" s="21"/>
      <c r="F91" s="25">
        <v>8</v>
      </c>
      <c r="G91" s="40">
        <v>5</v>
      </c>
      <c r="H91" s="40">
        <f t="shared" si="6"/>
        <v>40</v>
      </c>
      <c r="I91" s="21" t="s">
        <v>10</v>
      </c>
      <c r="J91" s="34"/>
      <c r="K91" s="34"/>
      <c r="S91" s="4"/>
    </row>
    <row r="92" spans="1:19" ht="14.25">
      <c r="A92" s="121" t="s">
        <v>96</v>
      </c>
      <c r="B92" s="121"/>
      <c r="C92" s="25"/>
      <c r="D92" s="21"/>
      <c r="E92" s="21"/>
      <c r="F92" s="25">
        <v>6</v>
      </c>
      <c r="G92" s="40">
        <v>5</v>
      </c>
      <c r="H92" s="40">
        <f t="shared" si="6"/>
        <v>30</v>
      </c>
      <c r="I92" s="21" t="s">
        <v>10</v>
      </c>
      <c r="J92" s="34"/>
      <c r="K92" s="34"/>
      <c r="S92" s="4"/>
    </row>
    <row r="93" spans="1:19" ht="14.25">
      <c r="A93" s="121" t="s">
        <v>97</v>
      </c>
      <c r="B93" s="121"/>
      <c r="C93" s="25"/>
      <c r="D93" s="21"/>
      <c r="E93" s="21"/>
      <c r="F93" s="25">
        <v>18</v>
      </c>
      <c r="G93" s="40">
        <v>4</v>
      </c>
      <c r="H93" s="40">
        <f t="shared" si="6"/>
        <v>72</v>
      </c>
      <c r="I93" s="21" t="s">
        <v>10</v>
      </c>
      <c r="J93" s="34"/>
      <c r="K93" s="34"/>
      <c r="S93" s="4"/>
    </row>
    <row r="94" spans="1:19" ht="14.25">
      <c r="A94" s="121" t="s">
        <v>98</v>
      </c>
      <c r="B94" s="121"/>
      <c r="C94" s="25"/>
      <c r="D94" s="21"/>
      <c r="E94" s="21"/>
      <c r="F94" s="25">
        <v>15</v>
      </c>
      <c r="G94" s="40">
        <v>5</v>
      </c>
      <c r="H94" s="40">
        <f t="shared" si="6"/>
        <v>75</v>
      </c>
      <c r="I94" s="21" t="s">
        <v>10</v>
      </c>
      <c r="J94" s="34"/>
      <c r="K94" s="34"/>
      <c r="S94" s="4"/>
    </row>
    <row r="95" spans="1:19" ht="14.25">
      <c r="A95" s="121" t="s">
        <v>99</v>
      </c>
      <c r="B95" s="121"/>
      <c r="C95" s="25"/>
      <c r="D95" s="21"/>
      <c r="E95" s="21"/>
      <c r="F95" s="25">
        <v>4</v>
      </c>
      <c r="G95" s="40">
        <v>4</v>
      </c>
      <c r="H95" s="40">
        <f t="shared" si="6"/>
        <v>16</v>
      </c>
      <c r="I95" s="21" t="s">
        <v>10</v>
      </c>
      <c r="J95" s="34"/>
      <c r="K95" s="34"/>
      <c r="S95" s="4"/>
    </row>
    <row r="96" spans="1:19" ht="14.25">
      <c r="A96" s="121" t="s">
        <v>100</v>
      </c>
      <c r="B96" s="121"/>
      <c r="C96" s="25"/>
      <c r="D96" s="21"/>
      <c r="E96" s="21"/>
      <c r="F96" s="25">
        <v>1</v>
      </c>
      <c r="G96" s="40">
        <v>7</v>
      </c>
      <c r="H96" s="40">
        <f t="shared" si="6"/>
        <v>7</v>
      </c>
      <c r="I96" s="21" t="s">
        <v>10</v>
      </c>
      <c r="J96" s="34"/>
      <c r="K96" s="34"/>
      <c r="S96" s="4"/>
    </row>
    <row r="97" spans="1:19" ht="14.25">
      <c r="A97" s="121" t="s">
        <v>101</v>
      </c>
      <c r="B97" s="121"/>
      <c r="C97" s="25"/>
      <c r="D97" s="21"/>
      <c r="E97" s="21"/>
      <c r="F97" s="25">
        <v>5</v>
      </c>
      <c r="G97" s="40">
        <v>4</v>
      </c>
      <c r="H97" s="40">
        <f t="shared" si="6"/>
        <v>20</v>
      </c>
      <c r="I97" s="21" t="s">
        <v>10</v>
      </c>
      <c r="J97" s="34"/>
      <c r="K97" s="34"/>
      <c r="S97" s="4"/>
    </row>
    <row r="98" spans="1:19" ht="14.25">
      <c r="A98" s="121" t="s">
        <v>102</v>
      </c>
      <c r="B98" s="121"/>
      <c r="C98" s="25"/>
      <c r="D98" s="21"/>
      <c r="E98" s="21"/>
      <c r="F98" s="25">
        <v>1</v>
      </c>
      <c r="G98" s="40">
        <v>5</v>
      </c>
      <c r="H98" s="40">
        <f t="shared" si="6"/>
        <v>5</v>
      </c>
      <c r="I98" s="21" t="s">
        <v>10</v>
      </c>
      <c r="J98" s="34"/>
      <c r="K98" s="34"/>
      <c r="S98" s="4"/>
    </row>
    <row r="99" spans="1:19" ht="14.25">
      <c r="A99" s="121" t="s">
        <v>103</v>
      </c>
      <c r="B99" s="121"/>
      <c r="C99" s="25"/>
      <c r="D99" s="21"/>
      <c r="E99" s="21"/>
      <c r="F99" s="25">
        <v>5</v>
      </c>
      <c r="G99" s="40">
        <v>1</v>
      </c>
      <c r="H99" s="40">
        <f t="shared" si="6"/>
        <v>5</v>
      </c>
      <c r="I99" s="21" t="s">
        <v>10</v>
      </c>
      <c r="J99" s="34"/>
      <c r="K99" s="34"/>
      <c r="S99" s="4"/>
    </row>
    <row r="100" spans="1:21" s="3" customFormat="1" ht="15.75">
      <c r="A100" s="103" t="s">
        <v>104</v>
      </c>
      <c r="B100" s="118"/>
      <c r="C100" s="103"/>
      <c r="D100" s="118"/>
      <c r="E100" s="25"/>
      <c r="F100" s="25"/>
      <c r="G100" s="21"/>
      <c r="H100" s="28">
        <f>SUM(H76:H99)</f>
        <v>728</v>
      </c>
      <c r="I100" s="21"/>
      <c r="U100" s="4"/>
    </row>
    <row r="101" spans="1:21" s="3" customFormat="1" ht="18">
      <c r="A101" s="122" t="s">
        <v>105</v>
      </c>
      <c r="B101" s="122"/>
      <c r="C101" s="122"/>
      <c r="D101" s="122"/>
      <c r="E101" s="122"/>
      <c r="F101" s="122"/>
      <c r="G101" s="41"/>
      <c r="H101" s="42">
        <f>H19+H33+H41+H45+H72+H100</f>
        <v>4295.3</v>
      </c>
      <c r="I101" s="21"/>
      <c r="U101" s="4"/>
    </row>
    <row r="102" spans="1:21" s="3" customFormat="1" ht="19.5" customHeight="1">
      <c r="A102" s="123" t="s">
        <v>106</v>
      </c>
      <c r="B102" s="116"/>
      <c r="C102" s="116"/>
      <c r="D102" s="116"/>
      <c r="E102" s="116"/>
      <c r="F102" s="116"/>
      <c r="G102" s="116"/>
      <c r="H102" s="116"/>
      <c r="I102" s="116"/>
      <c r="J102" s="43"/>
      <c r="K102" s="43"/>
      <c r="L102" s="34"/>
      <c r="U102" s="4"/>
    </row>
    <row r="103" spans="1:11" s="45" customFormat="1" ht="38.25" customHeight="1">
      <c r="A103" s="31" t="s">
        <v>107</v>
      </c>
      <c r="B103" s="31" t="s">
        <v>108</v>
      </c>
      <c r="C103" s="31" t="s">
        <v>109</v>
      </c>
      <c r="D103" s="12"/>
      <c r="E103" s="12"/>
      <c r="F103" s="12"/>
      <c r="G103" s="14" t="s">
        <v>6</v>
      </c>
      <c r="H103" s="14" t="s">
        <v>7</v>
      </c>
      <c r="I103" s="14" t="s">
        <v>8</v>
      </c>
      <c r="J103" s="44"/>
      <c r="K103" s="44"/>
    </row>
    <row r="104" spans="1:19" s="3" customFormat="1" ht="12.75">
      <c r="A104" s="46" t="s">
        <v>110</v>
      </c>
      <c r="B104" s="21">
        <v>2003</v>
      </c>
      <c r="C104" s="12" t="s">
        <v>111</v>
      </c>
      <c r="D104" s="12"/>
      <c r="E104" s="12"/>
      <c r="F104" s="12">
        <v>1</v>
      </c>
      <c r="G104" s="47">
        <v>650</v>
      </c>
      <c r="H104" s="47">
        <f>G104</f>
        <v>650</v>
      </c>
      <c r="I104" s="21" t="s">
        <v>10</v>
      </c>
      <c r="J104" s="34"/>
      <c r="K104" s="34"/>
      <c r="S104" s="4"/>
    </row>
    <row r="105" spans="1:19" s="3" customFormat="1" ht="12.75">
      <c r="A105" s="18" t="s">
        <v>112</v>
      </c>
      <c r="B105" s="12">
        <v>2000</v>
      </c>
      <c r="C105" s="12" t="s">
        <v>113</v>
      </c>
      <c r="D105" s="12"/>
      <c r="E105" s="12"/>
      <c r="F105" s="12">
        <v>1</v>
      </c>
      <c r="G105" s="47">
        <v>500</v>
      </c>
      <c r="H105" s="47">
        <f>G105</f>
        <v>500</v>
      </c>
      <c r="I105" s="21" t="s">
        <v>10</v>
      </c>
      <c r="J105" s="34"/>
      <c r="K105" s="34"/>
      <c r="S105" s="4"/>
    </row>
    <row r="106" spans="1:19" s="3" customFormat="1" ht="15.75">
      <c r="A106" s="103" t="s">
        <v>114</v>
      </c>
      <c r="B106" s="118"/>
      <c r="C106" s="25"/>
      <c r="D106" s="25"/>
      <c r="E106" s="25"/>
      <c r="F106" s="25"/>
      <c r="G106" s="47"/>
      <c r="H106" s="28">
        <f>SUM(H104:H105)</f>
        <v>1150</v>
      </c>
      <c r="I106" s="12"/>
      <c r="J106" s="34"/>
      <c r="K106" s="34"/>
      <c r="S106" s="4"/>
    </row>
    <row r="107" spans="1:19" s="3" customFormat="1" ht="15.75">
      <c r="A107" s="25"/>
      <c r="B107" s="12"/>
      <c r="C107" s="25"/>
      <c r="D107" s="25"/>
      <c r="E107" s="25"/>
      <c r="F107" s="25"/>
      <c r="G107" s="47"/>
      <c r="H107" s="28"/>
      <c r="I107" s="12"/>
      <c r="J107" s="34"/>
      <c r="K107" s="34"/>
      <c r="S107" s="4"/>
    </row>
    <row r="108" spans="1:21" s="3" customFormat="1" ht="30" customHeight="1">
      <c r="A108" s="124" t="s">
        <v>115</v>
      </c>
      <c r="B108" s="125"/>
      <c r="C108" s="125"/>
      <c r="D108" s="125"/>
      <c r="E108" s="125"/>
      <c r="F108" s="125"/>
      <c r="G108" s="125"/>
      <c r="H108" s="125"/>
      <c r="I108" s="125"/>
      <c r="J108" s="126"/>
      <c r="K108" s="127"/>
      <c r="U108" s="4"/>
    </row>
    <row r="109" spans="1:21" s="45" customFormat="1" ht="35.25" customHeight="1">
      <c r="A109" s="128" t="s">
        <v>116</v>
      </c>
      <c r="B109" s="129"/>
      <c r="C109" s="129"/>
      <c r="D109" s="129"/>
      <c r="E109" s="129"/>
      <c r="F109" s="129"/>
      <c r="G109" s="129"/>
      <c r="H109" s="129"/>
      <c r="I109" s="129"/>
      <c r="J109" s="129"/>
      <c r="K109" s="130"/>
      <c r="U109" s="48"/>
    </row>
    <row r="110" spans="1:11" s="54" customFormat="1" ht="110.25" customHeight="1">
      <c r="A110" s="50" t="s">
        <v>117</v>
      </c>
      <c r="B110" s="51" t="s">
        <v>118</v>
      </c>
      <c r="C110" s="51" t="s">
        <v>119</v>
      </c>
      <c r="D110" s="51"/>
      <c r="E110" s="51"/>
      <c r="F110" s="52" t="s">
        <v>120</v>
      </c>
      <c r="G110" s="52" t="s">
        <v>121</v>
      </c>
      <c r="H110" s="51" t="s">
        <v>122</v>
      </c>
      <c r="I110" s="50" t="s">
        <v>123</v>
      </c>
      <c r="J110" s="50" t="s">
        <v>124</v>
      </c>
      <c r="K110" s="53" t="s">
        <v>8</v>
      </c>
    </row>
    <row r="111" spans="1:13" s="3" customFormat="1" ht="25.5" customHeight="1">
      <c r="A111" s="55">
        <v>4</v>
      </c>
      <c r="B111" s="56" t="s">
        <v>125</v>
      </c>
      <c r="C111" s="56" t="s">
        <v>126</v>
      </c>
      <c r="D111" s="56" t="s">
        <v>127</v>
      </c>
      <c r="E111" s="56" t="s">
        <v>128</v>
      </c>
      <c r="F111" s="57">
        <v>14.79</v>
      </c>
      <c r="G111" s="58">
        <f>2</f>
        <v>2</v>
      </c>
      <c r="H111" s="59">
        <f aca="true" t="shared" si="7" ref="H111:H174">G111*F111</f>
        <v>29.58</v>
      </c>
      <c r="I111" s="60">
        <v>1.26</v>
      </c>
      <c r="J111" s="60">
        <f>G111*I111</f>
        <v>2.52</v>
      </c>
      <c r="K111" s="61" t="s">
        <v>129</v>
      </c>
      <c r="M111" s="34"/>
    </row>
    <row r="112" spans="1:13" ht="12.75">
      <c r="A112" s="55">
        <v>5</v>
      </c>
      <c r="B112" s="56" t="s">
        <v>130</v>
      </c>
      <c r="C112" s="56" t="s">
        <v>126</v>
      </c>
      <c r="D112" s="56" t="s">
        <v>131</v>
      </c>
      <c r="E112" s="56" t="s">
        <v>128</v>
      </c>
      <c r="F112" s="57">
        <v>10.65</v>
      </c>
      <c r="G112" s="58">
        <f>1+7+3</f>
        <v>11</v>
      </c>
      <c r="H112" s="59">
        <f t="shared" si="7"/>
        <v>117.15</v>
      </c>
      <c r="I112" s="60">
        <v>1.064</v>
      </c>
      <c r="J112" s="60">
        <f aca="true" t="shared" si="8" ref="J112:J175">G112*I112</f>
        <v>11.704</v>
      </c>
      <c r="K112" s="62" t="s">
        <v>132</v>
      </c>
      <c r="M112" s="34"/>
    </row>
    <row r="113" spans="1:13" ht="12.75">
      <c r="A113" s="55">
        <v>8</v>
      </c>
      <c r="B113" s="58" t="s">
        <v>133</v>
      </c>
      <c r="C113" s="56" t="s">
        <v>126</v>
      </c>
      <c r="D113" s="56" t="s">
        <v>134</v>
      </c>
      <c r="E113" s="56" t="s">
        <v>128</v>
      </c>
      <c r="F113" s="63">
        <v>61.6</v>
      </c>
      <c r="G113" s="58">
        <f>1</f>
        <v>1</v>
      </c>
      <c r="H113" s="59">
        <f t="shared" si="7"/>
        <v>61.6</v>
      </c>
      <c r="I113" s="60">
        <v>3.92</v>
      </c>
      <c r="J113" s="60">
        <f t="shared" si="8"/>
        <v>3.92</v>
      </c>
      <c r="K113" s="62" t="s">
        <v>132</v>
      </c>
      <c r="M113" s="34"/>
    </row>
    <row r="114" spans="1:21" s="3" customFormat="1" ht="12.75">
      <c r="A114" s="55">
        <v>9</v>
      </c>
      <c r="B114" s="56" t="s">
        <v>135</v>
      </c>
      <c r="C114" s="56" t="s">
        <v>126</v>
      </c>
      <c r="D114" s="56" t="s">
        <v>134</v>
      </c>
      <c r="E114" s="56" t="s">
        <v>128</v>
      </c>
      <c r="F114" s="63">
        <v>55</v>
      </c>
      <c r="G114" s="58">
        <f>1</f>
        <v>1</v>
      </c>
      <c r="H114" s="59">
        <f t="shared" si="7"/>
        <v>55</v>
      </c>
      <c r="I114" s="60">
        <v>3.36</v>
      </c>
      <c r="J114" s="60">
        <f t="shared" si="8"/>
        <v>3.36</v>
      </c>
      <c r="K114" s="62" t="s">
        <v>132</v>
      </c>
      <c r="M114" s="34"/>
      <c r="U114" s="4"/>
    </row>
    <row r="115" spans="1:21" s="3" customFormat="1" ht="12.75">
      <c r="A115" s="55">
        <v>11</v>
      </c>
      <c r="B115" s="56" t="s">
        <v>136</v>
      </c>
      <c r="C115" s="56" t="s">
        <v>126</v>
      </c>
      <c r="D115" s="56" t="s">
        <v>134</v>
      </c>
      <c r="E115" s="56" t="s">
        <v>128</v>
      </c>
      <c r="F115" s="57">
        <v>44.5</v>
      </c>
      <c r="G115" s="58">
        <f>3-1</f>
        <v>2</v>
      </c>
      <c r="H115" s="59">
        <f t="shared" si="7"/>
        <v>89</v>
      </c>
      <c r="I115" s="60">
        <v>3.92</v>
      </c>
      <c r="J115" s="60">
        <f t="shared" si="8"/>
        <v>7.84</v>
      </c>
      <c r="K115" s="62" t="s">
        <v>132</v>
      </c>
      <c r="M115" s="34"/>
      <c r="U115" s="4"/>
    </row>
    <row r="116" spans="1:21" s="3" customFormat="1" ht="12.75">
      <c r="A116" s="55">
        <v>18</v>
      </c>
      <c r="B116" s="56" t="s">
        <v>137</v>
      </c>
      <c r="C116" s="56" t="s">
        <v>126</v>
      </c>
      <c r="D116" s="56" t="s">
        <v>138</v>
      </c>
      <c r="E116" s="56" t="s">
        <v>128</v>
      </c>
      <c r="F116" s="57">
        <v>21.8</v>
      </c>
      <c r="G116" s="58">
        <f>2</f>
        <v>2</v>
      </c>
      <c r="H116" s="59">
        <f t="shared" si="7"/>
        <v>43.6</v>
      </c>
      <c r="I116" s="60">
        <v>2.1</v>
      </c>
      <c r="J116" s="60">
        <f t="shared" si="8"/>
        <v>4.2</v>
      </c>
      <c r="K116" s="62" t="s">
        <v>132</v>
      </c>
      <c r="M116" s="34"/>
      <c r="U116" s="4"/>
    </row>
    <row r="117" spans="1:21" s="3" customFormat="1" ht="12.75">
      <c r="A117" s="55">
        <v>24</v>
      </c>
      <c r="B117" s="56" t="s">
        <v>139</v>
      </c>
      <c r="C117" s="56" t="s">
        <v>126</v>
      </c>
      <c r="D117" s="56" t="s">
        <v>134</v>
      </c>
      <c r="E117" s="56" t="s">
        <v>128</v>
      </c>
      <c r="F117" s="63">
        <v>98</v>
      </c>
      <c r="G117" s="58">
        <f>2</f>
        <v>2</v>
      </c>
      <c r="H117" s="59">
        <f t="shared" si="7"/>
        <v>196</v>
      </c>
      <c r="I117" s="60">
        <v>5.04</v>
      </c>
      <c r="J117" s="60">
        <f t="shared" si="8"/>
        <v>10.08</v>
      </c>
      <c r="K117" s="62" t="s">
        <v>132</v>
      </c>
      <c r="M117" s="34"/>
      <c r="U117" s="4"/>
    </row>
    <row r="118" spans="1:21" s="3" customFormat="1" ht="12.75">
      <c r="A118" s="55">
        <v>30</v>
      </c>
      <c r="B118" s="56" t="s">
        <v>140</v>
      </c>
      <c r="C118" s="56" t="s">
        <v>126</v>
      </c>
      <c r="D118" s="56" t="s">
        <v>141</v>
      </c>
      <c r="E118" s="56" t="s">
        <v>128</v>
      </c>
      <c r="F118" s="57">
        <v>27.5</v>
      </c>
      <c r="G118" s="58">
        <f>4-1-1-2</f>
        <v>0</v>
      </c>
      <c r="H118" s="59">
        <f t="shared" si="7"/>
        <v>0</v>
      </c>
      <c r="I118" s="60">
        <v>2.66</v>
      </c>
      <c r="J118" s="60">
        <f t="shared" si="8"/>
        <v>0</v>
      </c>
      <c r="K118" s="62" t="s">
        <v>132</v>
      </c>
      <c r="M118" s="34"/>
      <c r="U118" s="4"/>
    </row>
    <row r="119" spans="1:21" s="3" customFormat="1" ht="25.5">
      <c r="A119" s="55">
        <v>34</v>
      </c>
      <c r="B119" s="56" t="s">
        <v>142</v>
      </c>
      <c r="C119" s="56" t="s">
        <v>126</v>
      </c>
      <c r="D119" s="56" t="s">
        <v>141</v>
      </c>
      <c r="E119" s="56" t="s">
        <v>128</v>
      </c>
      <c r="F119" s="57">
        <v>20.95</v>
      </c>
      <c r="G119" s="58">
        <f>1-1</f>
        <v>0</v>
      </c>
      <c r="H119" s="59">
        <f t="shared" si="7"/>
        <v>0</v>
      </c>
      <c r="I119" s="60">
        <v>1.82</v>
      </c>
      <c r="J119" s="60">
        <f t="shared" si="8"/>
        <v>0</v>
      </c>
      <c r="K119" s="62" t="s">
        <v>132</v>
      </c>
      <c r="M119" s="34"/>
      <c r="U119" s="4"/>
    </row>
    <row r="120" spans="1:21" s="3" customFormat="1" ht="25.5">
      <c r="A120" s="55">
        <v>43</v>
      </c>
      <c r="B120" s="56" t="s">
        <v>143</v>
      </c>
      <c r="C120" s="56" t="s">
        <v>126</v>
      </c>
      <c r="D120" s="56" t="s">
        <v>141</v>
      </c>
      <c r="E120" s="56" t="s">
        <v>128</v>
      </c>
      <c r="F120" s="57">
        <v>6.35</v>
      </c>
      <c r="G120" s="58">
        <f>2-1</f>
        <v>1</v>
      </c>
      <c r="H120" s="59">
        <f t="shared" si="7"/>
        <v>6.35</v>
      </c>
      <c r="I120" s="60">
        <v>0.616</v>
      </c>
      <c r="J120" s="60">
        <f t="shared" si="8"/>
        <v>0.616</v>
      </c>
      <c r="K120" s="62" t="s">
        <v>132</v>
      </c>
      <c r="M120" s="34"/>
      <c r="U120" s="4"/>
    </row>
    <row r="121" spans="1:21" s="3" customFormat="1" ht="12.75">
      <c r="A121" s="55">
        <v>45</v>
      </c>
      <c r="B121" s="56" t="s">
        <v>144</v>
      </c>
      <c r="C121" s="56" t="s">
        <v>126</v>
      </c>
      <c r="D121" s="56" t="s">
        <v>134</v>
      </c>
      <c r="E121" s="56" t="s">
        <v>128</v>
      </c>
      <c r="F121" s="63">
        <v>43.5</v>
      </c>
      <c r="G121" s="58">
        <f>1+2</f>
        <v>3</v>
      </c>
      <c r="H121" s="59">
        <f t="shared" si="7"/>
        <v>130.5</v>
      </c>
      <c r="I121" s="60">
        <v>3.64</v>
      </c>
      <c r="J121" s="60">
        <f t="shared" si="8"/>
        <v>10.92</v>
      </c>
      <c r="K121" s="62" t="s">
        <v>132</v>
      </c>
      <c r="M121" s="34"/>
      <c r="U121" s="4"/>
    </row>
    <row r="122" spans="1:21" s="3" customFormat="1" ht="12.75">
      <c r="A122" s="55">
        <v>47</v>
      </c>
      <c r="B122" s="56" t="s">
        <v>145</v>
      </c>
      <c r="C122" s="56" t="s">
        <v>126</v>
      </c>
      <c r="D122" s="56" t="s">
        <v>138</v>
      </c>
      <c r="E122" s="56" t="s">
        <v>128</v>
      </c>
      <c r="F122" s="57">
        <v>54.14</v>
      </c>
      <c r="G122" s="58">
        <f>7-2</f>
        <v>5</v>
      </c>
      <c r="H122" s="59">
        <f t="shared" si="7"/>
        <v>270.7</v>
      </c>
      <c r="I122" s="60">
        <v>4.48</v>
      </c>
      <c r="J122" s="60">
        <f t="shared" si="8"/>
        <v>22.400000000000002</v>
      </c>
      <c r="K122" s="62" t="s">
        <v>132</v>
      </c>
      <c r="M122" s="34"/>
      <c r="U122" s="4"/>
    </row>
    <row r="123" spans="1:21" s="3" customFormat="1" ht="12.75">
      <c r="A123" s="55">
        <v>52</v>
      </c>
      <c r="B123" s="56" t="s">
        <v>146</v>
      </c>
      <c r="C123" s="56" t="s">
        <v>126</v>
      </c>
      <c r="D123" s="56" t="s">
        <v>141</v>
      </c>
      <c r="E123" s="56" t="s">
        <v>128</v>
      </c>
      <c r="F123" s="57">
        <v>10.8</v>
      </c>
      <c r="G123" s="58">
        <f>1</f>
        <v>1</v>
      </c>
      <c r="H123" s="59">
        <f t="shared" si="7"/>
        <v>10.8</v>
      </c>
      <c r="I123" s="60">
        <v>0.98</v>
      </c>
      <c r="J123" s="60">
        <f t="shared" si="8"/>
        <v>0.98</v>
      </c>
      <c r="K123" s="62" t="s">
        <v>132</v>
      </c>
      <c r="M123" s="34"/>
      <c r="U123" s="4"/>
    </row>
    <row r="124" spans="1:21" s="3" customFormat="1" ht="12.75">
      <c r="A124" s="55">
        <v>55</v>
      </c>
      <c r="B124" s="56" t="s">
        <v>147</v>
      </c>
      <c r="C124" s="56" t="s">
        <v>126</v>
      </c>
      <c r="D124" s="56" t="s">
        <v>131</v>
      </c>
      <c r="E124" s="56" t="s">
        <v>128</v>
      </c>
      <c r="F124" s="57">
        <v>17</v>
      </c>
      <c r="G124" s="58">
        <f>2</f>
        <v>2</v>
      </c>
      <c r="H124" s="59">
        <f t="shared" si="7"/>
        <v>34</v>
      </c>
      <c r="I124" s="60">
        <v>1.6239999999999999</v>
      </c>
      <c r="J124" s="60">
        <f t="shared" si="8"/>
        <v>3.2479999999999998</v>
      </c>
      <c r="K124" s="62" t="s">
        <v>132</v>
      </c>
      <c r="M124" s="34"/>
      <c r="U124" s="4"/>
    </row>
    <row r="125" spans="1:21" s="3" customFormat="1" ht="12.75">
      <c r="A125" s="55">
        <v>80</v>
      </c>
      <c r="B125" s="56" t="s">
        <v>148</v>
      </c>
      <c r="C125" s="56" t="s">
        <v>126</v>
      </c>
      <c r="D125" s="56" t="s">
        <v>134</v>
      </c>
      <c r="E125" s="56" t="s">
        <v>128</v>
      </c>
      <c r="F125" s="57">
        <v>58</v>
      </c>
      <c r="G125" s="58">
        <f>2+1</f>
        <v>3</v>
      </c>
      <c r="H125" s="59">
        <f t="shared" si="7"/>
        <v>174</v>
      </c>
      <c r="I125" s="60">
        <v>4.62</v>
      </c>
      <c r="J125" s="60">
        <f t="shared" si="8"/>
        <v>13.86</v>
      </c>
      <c r="K125" s="62" t="s">
        <v>132</v>
      </c>
      <c r="M125" s="34"/>
      <c r="U125" s="4"/>
    </row>
    <row r="126" spans="1:21" s="3" customFormat="1" ht="12.75">
      <c r="A126" s="55">
        <v>83</v>
      </c>
      <c r="B126" s="56" t="s">
        <v>147</v>
      </c>
      <c r="C126" s="56" t="s">
        <v>126</v>
      </c>
      <c r="D126" s="56" t="s">
        <v>131</v>
      </c>
      <c r="E126" s="56" t="s">
        <v>128</v>
      </c>
      <c r="F126" s="63">
        <v>7.8</v>
      </c>
      <c r="G126" s="58">
        <f>2</f>
        <v>2</v>
      </c>
      <c r="H126" s="59">
        <f t="shared" si="7"/>
        <v>15.6</v>
      </c>
      <c r="I126" s="60">
        <v>0.616</v>
      </c>
      <c r="J126" s="60">
        <f t="shared" si="8"/>
        <v>1.232</v>
      </c>
      <c r="K126" s="62" t="s">
        <v>132</v>
      </c>
      <c r="M126" s="34"/>
      <c r="U126" s="4"/>
    </row>
    <row r="127" spans="1:21" s="3" customFormat="1" ht="12.75">
      <c r="A127" s="55">
        <v>87</v>
      </c>
      <c r="B127" s="56" t="s">
        <v>149</v>
      </c>
      <c r="C127" s="56" t="s">
        <v>126</v>
      </c>
      <c r="D127" s="56" t="s">
        <v>150</v>
      </c>
      <c r="E127" s="56" t="s">
        <v>128</v>
      </c>
      <c r="F127" s="57">
        <v>64.89</v>
      </c>
      <c r="G127" s="58">
        <v>2</v>
      </c>
      <c r="H127" s="59">
        <f t="shared" si="7"/>
        <v>129.78</v>
      </c>
      <c r="I127" s="60">
        <v>4.2</v>
      </c>
      <c r="J127" s="60">
        <f t="shared" si="8"/>
        <v>8.4</v>
      </c>
      <c r="K127" s="62" t="s">
        <v>132</v>
      </c>
      <c r="M127" s="34"/>
      <c r="U127" s="4"/>
    </row>
    <row r="128" spans="1:21" s="3" customFormat="1" ht="12.75">
      <c r="A128" s="55">
        <v>88</v>
      </c>
      <c r="B128" s="56" t="s">
        <v>147</v>
      </c>
      <c r="C128" s="56" t="s">
        <v>126</v>
      </c>
      <c r="D128" s="56" t="s">
        <v>131</v>
      </c>
      <c r="E128" s="56" t="s">
        <v>128</v>
      </c>
      <c r="F128" s="57">
        <v>11.3</v>
      </c>
      <c r="G128" s="58">
        <v>1</v>
      </c>
      <c r="H128" s="59">
        <f t="shared" si="7"/>
        <v>11.3</v>
      </c>
      <c r="I128" s="60">
        <v>1.12</v>
      </c>
      <c r="J128" s="60">
        <f t="shared" si="8"/>
        <v>1.12</v>
      </c>
      <c r="K128" s="62" t="s">
        <v>132</v>
      </c>
      <c r="M128" s="34"/>
      <c r="U128" s="4"/>
    </row>
    <row r="129" spans="1:21" s="3" customFormat="1" ht="12.75">
      <c r="A129" s="55">
        <v>93</v>
      </c>
      <c r="B129" s="56" t="s">
        <v>147</v>
      </c>
      <c r="C129" s="56" t="s">
        <v>126</v>
      </c>
      <c r="D129" s="56" t="s">
        <v>131</v>
      </c>
      <c r="E129" s="56" t="s">
        <v>128</v>
      </c>
      <c r="F129" s="57">
        <v>11.29</v>
      </c>
      <c r="G129" s="58">
        <f>5-2</f>
        <v>3</v>
      </c>
      <c r="H129" s="59">
        <f t="shared" si="7"/>
        <v>33.87</v>
      </c>
      <c r="I129" s="60">
        <v>1.12</v>
      </c>
      <c r="J129" s="60">
        <f t="shared" si="8"/>
        <v>3.3600000000000003</v>
      </c>
      <c r="K129" s="62" t="s">
        <v>132</v>
      </c>
      <c r="M129" s="34"/>
      <c r="U129" s="4"/>
    </row>
    <row r="130" spans="1:21" s="3" customFormat="1" ht="12.75">
      <c r="A130" s="55">
        <v>94</v>
      </c>
      <c r="B130" s="56" t="s">
        <v>147</v>
      </c>
      <c r="C130" s="56" t="s">
        <v>126</v>
      </c>
      <c r="D130" s="56" t="s">
        <v>131</v>
      </c>
      <c r="E130" s="56" t="s">
        <v>128</v>
      </c>
      <c r="F130" s="57">
        <v>11.29</v>
      </c>
      <c r="G130" s="58">
        <f>3</f>
        <v>3</v>
      </c>
      <c r="H130" s="59">
        <f t="shared" si="7"/>
        <v>33.87</v>
      </c>
      <c r="I130" s="60">
        <v>1.12</v>
      </c>
      <c r="J130" s="60">
        <f t="shared" si="8"/>
        <v>3.3600000000000003</v>
      </c>
      <c r="K130" s="62" t="s">
        <v>132</v>
      </c>
      <c r="M130" s="34"/>
      <c r="U130" s="4"/>
    </row>
    <row r="131" spans="1:21" s="3" customFormat="1" ht="25.5">
      <c r="A131" s="55">
        <v>97</v>
      </c>
      <c r="B131" s="56" t="s">
        <v>151</v>
      </c>
      <c r="C131" s="56" t="s">
        <v>126</v>
      </c>
      <c r="D131" s="56" t="s">
        <v>131</v>
      </c>
      <c r="E131" s="56" t="s">
        <v>128</v>
      </c>
      <c r="F131" s="57">
        <v>13.59</v>
      </c>
      <c r="G131" s="58">
        <f>1+2</f>
        <v>3</v>
      </c>
      <c r="H131" s="59">
        <f t="shared" si="7"/>
        <v>40.769999999999996</v>
      </c>
      <c r="I131" s="60">
        <v>1.1760000000000002</v>
      </c>
      <c r="J131" s="60">
        <f t="shared" si="8"/>
        <v>3.5280000000000005</v>
      </c>
      <c r="K131" s="62" t="s">
        <v>132</v>
      </c>
      <c r="M131" s="34"/>
      <c r="U131" s="4"/>
    </row>
    <row r="132" spans="1:21" s="3" customFormat="1" ht="12.75">
      <c r="A132" s="55">
        <v>98</v>
      </c>
      <c r="B132" s="58" t="s">
        <v>152</v>
      </c>
      <c r="C132" s="56" t="s">
        <v>126</v>
      </c>
      <c r="D132" s="56" t="s">
        <v>131</v>
      </c>
      <c r="E132" s="56" t="s">
        <v>128</v>
      </c>
      <c r="F132" s="63">
        <v>3.69</v>
      </c>
      <c r="G132" s="58">
        <f>2</f>
        <v>2</v>
      </c>
      <c r="H132" s="59">
        <f t="shared" si="7"/>
        <v>7.38</v>
      </c>
      <c r="I132" s="60">
        <v>0.364</v>
      </c>
      <c r="J132" s="60">
        <f t="shared" si="8"/>
        <v>0.728</v>
      </c>
      <c r="K132" s="62" t="s">
        <v>132</v>
      </c>
      <c r="M132" s="34"/>
      <c r="U132" s="4"/>
    </row>
    <row r="133" spans="1:21" s="3" customFormat="1" ht="12.75">
      <c r="A133" s="55">
        <v>100</v>
      </c>
      <c r="B133" s="56" t="s">
        <v>153</v>
      </c>
      <c r="C133" s="56" t="s">
        <v>126</v>
      </c>
      <c r="D133" s="56" t="s">
        <v>141</v>
      </c>
      <c r="E133" s="56" t="s">
        <v>128</v>
      </c>
      <c r="F133" s="57">
        <v>6.5</v>
      </c>
      <c r="G133" s="58">
        <f>7</f>
        <v>7</v>
      </c>
      <c r="H133" s="59">
        <f t="shared" si="7"/>
        <v>45.5</v>
      </c>
      <c r="I133" s="60">
        <v>0.6439999999999999</v>
      </c>
      <c r="J133" s="60">
        <f t="shared" si="8"/>
        <v>4.507999999999999</v>
      </c>
      <c r="K133" s="62" t="s">
        <v>132</v>
      </c>
      <c r="M133" s="34"/>
      <c r="U133" s="4"/>
    </row>
    <row r="134" spans="1:21" s="3" customFormat="1" ht="12.75">
      <c r="A134" s="55">
        <v>101</v>
      </c>
      <c r="B134" s="56" t="s">
        <v>154</v>
      </c>
      <c r="C134" s="56" t="s">
        <v>126</v>
      </c>
      <c r="D134" s="56" t="s">
        <v>131</v>
      </c>
      <c r="E134" s="56" t="s">
        <v>128</v>
      </c>
      <c r="F134" s="63">
        <v>4</v>
      </c>
      <c r="G134" s="58">
        <f>1</f>
        <v>1</v>
      </c>
      <c r="H134" s="59">
        <f t="shared" si="7"/>
        <v>4</v>
      </c>
      <c r="I134" s="60">
        <v>0.392</v>
      </c>
      <c r="J134" s="60">
        <f t="shared" si="8"/>
        <v>0.392</v>
      </c>
      <c r="K134" s="62" t="s">
        <v>132</v>
      </c>
      <c r="M134" s="34"/>
      <c r="U134" s="4"/>
    </row>
    <row r="135" spans="1:21" s="3" customFormat="1" ht="12.75">
      <c r="A135" s="55">
        <v>102</v>
      </c>
      <c r="B135" s="56" t="s">
        <v>155</v>
      </c>
      <c r="C135" s="56" t="s">
        <v>126</v>
      </c>
      <c r="D135" s="56" t="s">
        <v>131</v>
      </c>
      <c r="E135" s="56" t="s">
        <v>128</v>
      </c>
      <c r="F135" s="57">
        <v>13.09</v>
      </c>
      <c r="G135" s="58">
        <f>2</f>
        <v>2</v>
      </c>
      <c r="H135" s="59">
        <f t="shared" si="7"/>
        <v>26.18</v>
      </c>
      <c r="I135" s="60">
        <v>1.1760000000000002</v>
      </c>
      <c r="J135" s="60">
        <f t="shared" si="8"/>
        <v>2.3520000000000003</v>
      </c>
      <c r="K135" s="62" t="s">
        <v>132</v>
      </c>
      <c r="M135" s="34"/>
      <c r="U135" s="4"/>
    </row>
    <row r="136" spans="1:21" s="3" customFormat="1" ht="12.75">
      <c r="A136" s="55">
        <v>103</v>
      </c>
      <c r="B136" s="56" t="s">
        <v>156</v>
      </c>
      <c r="C136" s="56" t="s">
        <v>126</v>
      </c>
      <c r="D136" s="56" t="s">
        <v>141</v>
      </c>
      <c r="E136" s="56" t="s">
        <v>128</v>
      </c>
      <c r="F136" s="57">
        <v>13.8</v>
      </c>
      <c r="G136" s="58">
        <f>1</f>
        <v>1</v>
      </c>
      <c r="H136" s="59">
        <f t="shared" si="7"/>
        <v>13.8</v>
      </c>
      <c r="I136" s="60">
        <v>1.19</v>
      </c>
      <c r="J136" s="60">
        <f t="shared" si="8"/>
        <v>1.19</v>
      </c>
      <c r="K136" s="62" t="s">
        <v>132</v>
      </c>
      <c r="M136" s="34"/>
      <c r="U136" s="4"/>
    </row>
    <row r="137" spans="1:21" s="3" customFormat="1" ht="12.75">
      <c r="A137" s="55">
        <v>104</v>
      </c>
      <c r="B137" s="56" t="s">
        <v>157</v>
      </c>
      <c r="C137" s="56" t="s">
        <v>126</v>
      </c>
      <c r="D137" s="56" t="s">
        <v>127</v>
      </c>
      <c r="E137" s="56" t="s">
        <v>128</v>
      </c>
      <c r="F137" s="57">
        <v>11.89</v>
      </c>
      <c r="G137" s="58">
        <f>1+3</f>
        <v>4</v>
      </c>
      <c r="H137" s="59">
        <f t="shared" si="7"/>
        <v>47.56</v>
      </c>
      <c r="I137" s="60">
        <v>1.19</v>
      </c>
      <c r="J137" s="60">
        <f t="shared" si="8"/>
        <v>4.76</v>
      </c>
      <c r="K137" s="62" t="s">
        <v>132</v>
      </c>
      <c r="M137" s="34"/>
      <c r="U137" s="4"/>
    </row>
    <row r="138" spans="1:21" s="3" customFormat="1" ht="12.75">
      <c r="A138" s="55">
        <v>111</v>
      </c>
      <c r="B138" s="56" t="s">
        <v>158</v>
      </c>
      <c r="C138" s="56" t="s">
        <v>126</v>
      </c>
      <c r="D138" s="56" t="s">
        <v>131</v>
      </c>
      <c r="E138" s="56" t="s">
        <v>128</v>
      </c>
      <c r="F138" s="57">
        <v>8.4</v>
      </c>
      <c r="G138" s="58">
        <f>88-5-12-12-57</f>
        <v>2</v>
      </c>
      <c r="H138" s="59">
        <f t="shared" si="7"/>
        <v>16.8</v>
      </c>
      <c r="I138" s="60">
        <v>0.7</v>
      </c>
      <c r="J138" s="60">
        <f t="shared" si="8"/>
        <v>1.4</v>
      </c>
      <c r="K138" s="62" t="s">
        <v>132</v>
      </c>
      <c r="M138" s="34"/>
      <c r="U138" s="4"/>
    </row>
    <row r="139" spans="1:21" s="3" customFormat="1" ht="12.75">
      <c r="A139" s="55">
        <v>121</v>
      </c>
      <c r="B139" s="56" t="s">
        <v>159</v>
      </c>
      <c r="C139" s="56" t="s">
        <v>126</v>
      </c>
      <c r="D139" s="56" t="s">
        <v>134</v>
      </c>
      <c r="E139" s="56" t="s">
        <v>128</v>
      </c>
      <c r="F139" s="57">
        <v>47.5</v>
      </c>
      <c r="G139" s="58">
        <v>1</v>
      </c>
      <c r="H139" s="59">
        <f t="shared" si="7"/>
        <v>47.5</v>
      </c>
      <c r="I139" s="60">
        <v>3.78</v>
      </c>
      <c r="J139" s="60">
        <f t="shared" si="8"/>
        <v>3.78</v>
      </c>
      <c r="K139" s="62" t="s">
        <v>132</v>
      </c>
      <c r="M139" s="34"/>
      <c r="U139" s="4"/>
    </row>
    <row r="140" spans="1:21" s="3" customFormat="1" ht="12.75">
      <c r="A140" s="55">
        <v>158</v>
      </c>
      <c r="B140" s="56" t="s">
        <v>160</v>
      </c>
      <c r="C140" s="56" t="s">
        <v>126</v>
      </c>
      <c r="D140" s="56" t="s">
        <v>161</v>
      </c>
      <c r="E140" s="56" t="s">
        <v>128</v>
      </c>
      <c r="F140" s="57">
        <v>126.75</v>
      </c>
      <c r="G140" s="58">
        <f>1</f>
        <v>1</v>
      </c>
      <c r="H140" s="59">
        <f t="shared" si="7"/>
        <v>126.75</v>
      </c>
      <c r="I140" s="60">
        <v>8.96</v>
      </c>
      <c r="J140" s="60">
        <f t="shared" si="8"/>
        <v>8.96</v>
      </c>
      <c r="K140" s="62" t="s">
        <v>132</v>
      </c>
      <c r="M140" s="34"/>
      <c r="U140" s="4"/>
    </row>
    <row r="141" spans="1:21" s="3" customFormat="1" ht="12.75">
      <c r="A141" s="55">
        <v>163</v>
      </c>
      <c r="B141" s="56" t="s">
        <v>162</v>
      </c>
      <c r="C141" s="56" t="s">
        <v>126</v>
      </c>
      <c r="D141" s="56" t="s">
        <v>161</v>
      </c>
      <c r="E141" s="56" t="s">
        <v>128</v>
      </c>
      <c r="F141" s="57">
        <v>182</v>
      </c>
      <c r="G141" s="58">
        <f>1+1-1</f>
        <v>1</v>
      </c>
      <c r="H141" s="59">
        <f t="shared" si="7"/>
        <v>182</v>
      </c>
      <c r="I141" s="60">
        <v>10.64</v>
      </c>
      <c r="J141" s="60">
        <f t="shared" si="8"/>
        <v>10.64</v>
      </c>
      <c r="K141" s="62" t="s">
        <v>132</v>
      </c>
      <c r="M141" s="34"/>
      <c r="U141" s="4"/>
    </row>
    <row r="142" spans="1:21" s="3" customFormat="1" ht="12.75">
      <c r="A142" s="55">
        <v>164</v>
      </c>
      <c r="B142" s="56" t="s">
        <v>163</v>
      </c>
      <c r="C142" s="56" t="s">
        <v>126</v>
      </c>
      <c r="D142" s="56" t="s">
        <v>161</v>
      </c>
      <c r="E142" s="56" t="s">
        <v>128</v>
      </c>
      <c r="F142" s="57">
        <v>162.5</v>
      </c>
      <c r="G142" s="58">
        <f>1</f>
        <v>1</v>
      </c>
      <c r="H142" s="59">
        <f t="shared" si="7"/>
        <v>162.5</v>
      </c>
      <c r="I142" s="60">
        <v>11.76</v>
      </c>
      <c r="J142" s="60">
        <f t="shared" si="8"/>
        <v>11.76</v>
      </c>
      <c r="K142" s="62" t="s">
        <v>132</v>
      </c>
      <c r="M142" s="34"/>
      <c r="U142" s="4"/>
    </row>
    <row r="143" spans="1:21" s="3" customFormat="1" ht="12.75">
      <c r="A143" s="55">
        <v>166</v>
      </c>
      <c r="B143" s="56" t="s">
        <v>164</v>
      </c>
      <c r="C143" s="56" t="s">
        <v>126</v>
      </c>
      <c r="D143" s="56" t="s">
        <v>161</v>
      </c>
      <c r="E143" s="56" t="s">
        <v>128</v>
      </c>
      <c r="F143" s="63">
        <v>162</v>
      </c>
      <c r="G143" s="58">
        <f>1+1</f>
        <v>2</v>
      </c>
      <c r="H143" s="59">
        <f t="shared" si="7"/>
        <v>324</v>
      </c>
      <c r="I143" s="60">
        <v>12.32</v>
      </c>
      <c r="J143" s="60">
        <f t="shared" si="8"/>
        <v>24.64</v>
      </c>
      <c r="K143" s="62" t="s">
        <v>132</v>
      </c>
      <c r="M143" s="34"/>
      <c r="U143" s="4"/>
    </row>
    <row r="144" spans="1:21" s="3" customFormat="1" ht="12.75">
      <c r="A144" s="55">
        <v>180</v>
      </c>
      <c r="B144" s="56" t="s">
        <v>165</v>
      </c>
      <c r="C144" s="56" t="s">
        <v>126</v>
      </c>
      <c r="D144" s="56" t="s">
        <v>166</v>
      </c>
      <c r="E144" s="56" t="s">
        <v>128</v>
      </c>
      <c r="F144" s="57">
        <v>8.8</v>
      </c>
      <c r="G144" s="58">
        <v>1</v>
      </c>
      <c r="H144" s="59">
        <f t="shared" si="7"/>
        <v>8.8</v>
      </c>
      <c r="I144" s="60">
        <v>0.784</v>
      </c>
      <c r="J144" s="60">
        <f t="shared" si="8"/>
        <v>0.784</v>
      </c>
      <c r="K144" s="62" t="s">
        <v>132</v>
      </c>
      <c r="M144" s="34"/>
      <c r="U144" s="4"/>
    </row>
    <row r="145" spans="1:21" s="3" customFormat="1" ht="12.75">
      <c r="A145" s="55">
        <v>182</v>
      </c>
      <c r="B145" s="56" t="s">
        <v>167</v>
      </c>
      <c r="C145" s="56" t="s">
        <v>126</v>
      </c>
      <c r="D145" s="56" t="s">
        <v>166</v>
      </c>
      <c r="E145" s="56" t="s">
        <v>128</v>
      </c>
      <c r="F145" s="57">
        <v>11.6</v>
      </c>
      <c r="G145" s="58">
        <v>2</v>
      </c>
      <c r="H145" s="59">
        <f t="shared" si="7"/>
        <v>23.2</v>
      </c>
      <c r="I145" s="60">
        <v>1.008</v>
      </c>
      <c r="J145" s="60">
        <f t="shared" si="8"/>
        <v>2.016</v>
      </c>
      <c r="K145" s="62" t="s">
        <v>132</v>
      </c>
      <c r="M145" s="34"/>
      <c r="U145" s="4"/>
    </row>
    <row r="146" spans="1:21" s="3" customFormat="1" ht="12.75">
      <c r="A146" s="55">
        <v>184</v>
      </c>
      <c r="B146" s="56" t="s">
        <v>168</v>
      </c>
      <c r="C146" s="56" t="s">
        <v>126</v>
      </c>
      <c r="D146" s="56" t="s">
        <v>166</v>
      </c>
      <c r="E146" s="56" t="s">
        <v>128</v>
      </c>
      <c r="F146" s="57">
        <v>8.8</v>
      </c>
      <c r="G146" s="58">
        <v>2</v>
      </c>
      <c r="H146" s="59">
        <f t="shared" si="7"/>
        <v>17.6</v>
      </c>
      <c r="I146" s="60">
        <v>0.7</v>
      </c>
      <c r="J146" s="60">
        <f t="shared" si="8"/>
        <v>1.4</v>
      </c>
      <c r="K146" s="62" t="s">
        <v>132</v>
      </c>
      <c r="M146" s="34"/>
      <c r="U146" s="4"/>
    </row>
    <row r="147" spans="1:21" s="3" customFormat="1" ht="12.75">
      <c r="A147" s="55">
        <v>185</v>
      </c>
      <c r="B147" s="56" t="s">
        <v>169</v>
      </c>
      <c r="C147" s="56" t="s">
        <v>126</v>
      </c>
      <c r="D147" s="56" t="s">
        <v>166</v>
      </c>
      <c r="E147" s="56" t="s">
        <v>128</v>
      </c>
      <c r="F147" s="57">
        <v>7.9</v>
      </c>
      <c r="G147" s="58">
        <v>1</v>
      </c>
      <c r="H147" s="59">
        <f t="shared" si="7"/>
        <v>7.9</v>
      </c>
      <c r="I147" s="60">
        <v>0.616</v>
      </c>
      <c r="J147" s="60">
        <f t="shared" si="8"/>
        <v>0.616</v>
      </c>
      <c r="K147" s="62" t="s">
        <v>132</v>
      </c>
      <c r="M147" s="34"/>
      <c r="U147" s="4"/>
    </row>
    <row r="148" spans="1:21" s="3" customFormat="1" ht="12.75">
      <c r="A148" s="55">
        <v>187</v>
      </c>
      <c r="B148" s="56" t="s">
        <v>170</v>
      </c>
      <c r="C148" s="56" t="s">
        <v>126</v>
      </c>
      <c r="D148" s="56" t="s">
        <v>166</v>
      </c>
      <c r="E148" s="56" t="s">
        <v>128</v>
      </c>
      <c r="F148" s="57">
        <v>12.3</v>
      </c>
      <c r="G148" s="58">
        <v>1</v>
      </c>
      <c r="H148" s="59">
        <f t="shared" si="7"/>
        <v>12.3</v>
      </c>
      <c r="I148" s="60">
        <v>0.924</v>
      </c>
      <c r="J148" s="60">
        <f t="shared" si="8"/>
        <v>0.924</v>
      </c>
      <c r="K148" s="62" t="s">
        <v>132</v>
      </c>
      <c r="M148" s="34"/>
      <c r="U148" s="4"/>
    </row>
    <row r="149" spans="1:21" s="3" customFormat="1" ht="12.75">
      <c r="A149" s="55">
        <v>188</v>
      </c>
      <c r="B149" s="56" t="s">
        <v>171</v>
      </c>
      <c r="C149" s="56" t="s">
        <v>126</v>
      </c>
      <c r="D149" s="56" t="s">
        <v>166</v>
      </c>
      <c r="E149" s="56" t="s">
        <v>128</v>
      </c>
      <c r="F149" s="57">
        <v>12.3</v>
      </c>
      <c r="G149" s="58">
        <v>1</v>
      </c>
      <c r="H149" s="59">
        <f t="shared" si="7"/>
        <v>12.3</v>
      </c>
      <c r="I149" s="60">
        <v>0.924</v>
      </c>
      <c r="J149" s="60">
        <f t="shared" si="8"/>
        <v>0.924</v>
      </c>
      <c r="K149" s="62" t="s">
        <v>132</v>
      </c>
      <c r="M149" s="34"/>
      <c r="U149" s="4"/>
    </row>
    <row r="150" spans="1:21" s="3" customFormat="1" ht="12.75">
      <c r="A150" s="55">
        <v>189</v>
      </c>
      <c r="B150" s="56" t="s">
        <v>172</v>
      </c>
      <c r="C150" s="56" t="s">
        <v>126</v>
      </c>
      <c r="D150" s="56" t="s">
        <v>166</v>
      </c>
      <c r="E150" s="56" t="s">
        <v>128</v>
      </c>
      <c r="F150" s="57">
        <v>13.05</v>
      </c>
      <c r="G150" s="58">
        <v>2</v>
      </c>
      <c r="H150" s="59">
        <f t="shared" si="7"/>
        <v>26.1</v>
      </c>
      <c r="I150" s="60">
        <v>1.092</v>
      </c>
      <c r="J150" s="60">
        <f t="shared" si="8"/>
        <v>2.184</v>
      </c>
      <c r="K150" s="62" t="s">
        <v>132</v>
      </c>
      <c r="M150" s="34"/>
      <c r="U150" s="4"/>
    </row>
    <row r="151" spans="1:21" s="3" customFormat="1" ht="12.75">
      <c r="A151" s="55">
        <v>192</v>
      </c>
      <c r="B151" s="56" t="s">
        <v>173</v>
      </c>
      <c r="C151" s="56" t="s">
        <v>126</v>
      </c>
      <c r="D151" s="56" t="s">
        <v>166</v>
      </c>
      <c r="E151" s="56" t="s">
        <v>128</v>
      </c>
      <c r="F151" s="57">
        <v>8.45</v>
      </c>
      <c r="G151" s="58">
        <v>2</v>
      </c>
      <c r="H151" s="59">
        <f t="shared" si="7"/>
        <v>16.9</v>
      </c>
      <c r="I151" s="60">
        <v>0.5880000000000001</v>
      </c>
      <c r="J151" s="60">
        <f t="shared" si="8"/>
        <v>1.1760000000000002</v>
      </c>
      <c r="K151" s="62" t="s">
        <v>132</v>
      </c>
      <c r="M151" s="34"/>
      <c r="U151" s="4"/>
    </row>
    <row r="152" spans="1:21" s="3" customFormat="1" ht="12.75">
      <c r="A152" s="55">
        <v>196</v>
      </c>
      <c r="B152" s="56" t="s">
        <v>174</v>
      </c>
      <c r="C152" s="56" t="s">
        <v>126</v>
      </c>
      <c r="D152" s="56" t="s">
        <v>166</v>
      </c>
      <c r="E152" s="56" t="s">
        <v>128</v>
      </c>
      <c r="F152" s="57">
        <v>8.45</v>
      </c>
      <c r="G152" s="58">
        <v>1</v>
      </c>
      <c r="H152" s="59">
        <f t="shared" si="7"/>
        <v>8.45</v>
      </c>
      <c r="I152" s="60">
        <v>0.5880000000000001</v>
      </c>
      <c r="J152" s="60">
        <f t="shared" si="8"/>
        <v>0.5880000000000001</v>
      </c>
      <c r="K152" s="62" t="s">
        <v>132</v>
      </c>
      <c r="M152" s="34"/>
      <c r="U152" s="4"/>
    </row>
    <row r="153" spans="1:21" s="3" customFormat="1" ht="12.75">
      <c r="A153" s="55">
        <v>197</v>
      </c>
      <c r="B153" s="56" t="s">
        <v>175</v>
      </c>
      <c r="C153" s="56" t="s">
        <v>126</v>
      </c>
      <c r="D153" s="56" t="s">
        <v>166</v>
      </c>
      <c r="E153" s="56" t="s">
        <v>128</v>
      </c>
      <c r="F153" s="63">
        <v>7.5</v>
      </c>
      <c r="G153" s="58">
        <v>1</v>
      </c>
      <c r="H153" s="59">
        <f t="shared" si="7"/>
        <v>7.5</v>
      </c>
      <c r="I153" s="60">
        <v>0.532</v>
      </c>
      <c r="J153" s="60">
        <f t="shared" si="8"/>
        <v>0.532</v>
      </c>
      <c r="K153" s="62" t="s">
        <v>132</v>
      </c>
      <c r="M153" s="34"/>
      <c r="U153" s="4"/>
    </row>
    <row r="154" spans="1:21" s="3" customFormat="1" ht="12.75">
      <c r="A154" s="55">
        <v>198</v>
      </c>
      <c r="B154" s="56" t="s">
        <v>176</v>
      </c>
      <c r="C154" s="56" t="s">
        <v>126</v>
      </c>
      <c r="D154" s="56" t="s">
        <v>166</v>
      </c>
      <c r="E154" s="56" t="s">
        <v>128</v>
      </c>
      <c r="F154" s="63">
        <v>7</v>
      </c>
      <c r="G154" s="58">
        <v>3</v>
      </c>
      <c r="H154" s="59">
        <f t="shared" si="7"/>
        <v>21</v>
      </c>
      <c r="I154" s="60">
        <v>0.616</v>
      </c>
      <c r="J154" s="60">
        <f t="shared" si="8"/>
        <v>1.8479999999999999</v>
      </c>
      <c r="K154" s="62" t="s">
        <v>132</v>
      </c>
      <c r="M154" s="34"/>
      <c r="U154" s="4"/>
    </row>
    <row r="155" spans="1:21" s="3" customFormat="1" ht="12.75">
      <c r="A155" s="55">
        <v>199</v>
      </c>
      <c r="B155" s="56" t="s">
        <v>177</v>
      </c>
      <c r="C155" s="56" t="s">
        <v>126</v>
      </c>
      <c r="D155" s="56" t="s">
        <v>166</v>
      </c>
      <c r="E155" s="56" t="s">
        <v>128</v>
      </c>
      <c r="F155" s="57">
        <v>13.8</v>
      </c>
      <c r="G155" s="58">
        <v>3</v>
      </c>
      <c r="H155" s="59">
        <f t="shared" si="7"/>
        <v>41.400000000000006</v>
      </c>
      <c r="I155" s="60">
        <v>1.1480000000000001</v>
      </c>
      <c r="J155" s="60">
        <f t="shared" si="8"/>
        <v>3.4440000000000004</v>
      </c>
      <c r="K155" s="62" t="s">
        <v>132</v>
      </c>
      <c r="M155" s="34"/>
      <c r="U155" s="4"/>
    </row>
    <row r="156" spans="1:21" s="3" customFormat="1" ht="12.75">
      <c r="A156" s="55">
        <v>200</v>
      </c>
      <c r="B156" s="56" t="s">
        <v>178</v>
      </c>
      <c r="C156" s="56" t="s">
        <v>126</v>
      </c>
      <c r="D156" s="56" t="s">
        <v>166</v>
      </c>
      <c r="E156" s="56" t="s">
        <v>128</v>
      </c>
      <c r="F156" s="57">
        <v>12.52</v>
      </c>
      <c r="G156" s="58">
        <v>1</v>
      </c>
      <c r="H156" s="59">
        <f t="shared" si="7"/>
        <v>12.52</v>
      </c>
      <c r="I156" s="60">
        <v>1.1760000000000002</v>
      </c>
      <c r="J156" s="60">
        <f t="shared" si="8"/>
        <v>1.1760000000000002</v>
      </c>
      <c r="K156" s="62" t="s">
        <v>132</v>
      </c>
      <c r="M156" s="34"/>
      <c r="U156" s="4"/>
    </row>
    <row r="157" spans="1:21" s="3" customFormat="1" ht="12.75">
      <c r="A157" s="55">
        <v>201</v>
      </c>
      <c r="B157" s="56" t="s">
        <v>179</v>
      </c>
      <c r="C157" s="56" t="s">
        <v>126</v>
      </c>
      <c r="D157" s="56" t="s">
        <v>166</v>
      </c>
      <c r="E157" s="56" t="s">
        <v>128</v>
      </c>
      <c r="F157" s="63">
        <v>11.2</v>
      </c>
      <c r="G157" s="58">
        <v>2</v>
      </c>
      <c r="H157" s="59">
        <f t="shared" si="7"/>
        <v>22.4</v>
      </c>
      <c r="I157" s="60">
        <v>0.868</v>
      </c>
      <c r="J157" s="60">
        <f t="shared" si="8"/>
        <v>1.736</v>
      </c>
      <c r="K157" s="62" t="s">
        <v>132</v>
      </c>
      <c r="M157" s="34"/>
      <c r="U157" s="4"/>
    </row>
    <row r="158" spans="1:21" s="3" customFormat="1" ht="12.75">
      <c r="A158" s="55">
        <v>203</v>
      </c>
      <c r="B158" s="56" t="s">
        <v>180</v>
      </c>
      <c r="C158" s="56" t="s">
        <v>126</v>
      </c>
      <c r="D158" s="56" t="s">
        <v>166</v>
      </c>
      <c r="E158" s="56" t="s">
        <v>128</v>
      </c>
      <c r="F158" s="57">
        <v>13.05</v>
      </c>
      <c r="G158" s="58">
        <v>1</v>
      </c>
      <c r="H158" s="59">
        <f t="shared" si="7"/>
        <v>13.05</v>
      </c>
      <c r="I158" s="60">
        <v>1.1480000000000001</v>
      </c>
      <c r="J158" s="60">
        <f t="shared" si="8"/>
        <v>1.1480000000000001</v>
      </c>
      <c r="K158" s="62" t="s">
        <v>132</v>
      </c>
      <c r="M158" s="34"/>
      <c r="U158" s="4"/>
    </row>
    <row r="159" spans="1:21" s="3" customFormat="1" ht="12.75">
      <c r="A159" s="55">
        <v>204</v>
      </c>
      <c r="B159" s="56" t="s">
        <v>181</v>
      </c>
      <c r="C159" s="56" t="s">
        <v>126</v>
      </c>
      <c r="D159" s="56" t="s">
        <v>166</v>
      </c>
      <c r="E159" s="56" t="s">
        <v>128</v>
      </c>
      <c r="F159" s="57">
        <v>13.05</v>
      </c>
      <c r="G159" s="58">
        <v>2</v>
      </c>
      <c r="H159" s="59">
        <f t="shared" si="7"/>
        <v>26.1</v>
      </c>
      <c r="I159" s="60">
        <v>1.1480000000000001</v>
      </c>
      <c r="J159" s="60">
        <f t="shared" si="8"/>
        <v>2.2960000000000003</v>
      </c>
      <c r="K159" s="62" t="s">
        <v>132</v>
      </c>
      <c r="M159" s="34"/>
      <c r="U159" s="4"/>
    </row>
    <row r="160" spans="1:21" s="3" customFormat="1" ht="12.75">
      <c r="A160" s="55">
        <v>211</v>
      </c>
      <c r="B160" s="56" t="s">
        <v>182</v>
      </c>
      <c r="C160" s="56" t="s">
        <v>126</v>
      </c>
      <c r="D160" s="56" t="s">
        <v>131</v>
      </c>
      <c r="E160" s="56" t="s">
        <v>128</v>
      </c>
      <c r="F160" s="57">
        <v>37.7</v>
      </c>
      <c r="G160" s="58">
        <v>1</v>
      </c>
      <c r="H160" s="59">
        <f t="shared" si="7"/>
        <v>37.7</v>
      </c>
      <c r="I160" s="60">
        <v>3.696</v>
      </c>
      <c r="J160" s="60">
        <f t="shared" si="8"/>
        <v>3.696</v>
      </c>
      <c r="K160" s="62" t="s">
        <v>132</v>
      </c>
      <c r="M160" s="34"/>
      <c r="U160" s="4"/>
    </row>
    <row r="161" spans="1:21" s="3" customFormat="1" ht="12.75">
      <c r="A161" s="55">
        <v>220</v>
      </c>
      <c r="B161" s="56" t="s">
        <v>183</v>
      </c>
      <c r="C161" s="56" t="s">
        <v>126</v>
      </c>
      <c r="D161" s="56" t="s">
        <v>161</v>
      </c>
      <c r="E161" s="56" t="s">
        <v>128</v>
      </c>
      <c r="F161" s="63">
        <v>90</v>
      </c>
      <c r="G161" s="58">
        <f>1</f>
        <v>1</v>
      </c>
      <c r="H161" s="59">
        <f t="shared" si="7"/>
        <v>90</v>
      </c>
      <c r="I161" s="60">
        <v>6.72</v>
      </c>
      <c r="J161" s="60">
        <f t="shared" si="8"/>
        <v>6.72</v>
      </c>
      <c r="K161" s="62" t="s">
        <v>132</v>
      </c>
      <c r="M161" s="34"/>
      <c r="U161" s="4"/>
    </row>
    <row r="162" spans="1:21" s="3" customFormat="1" ht="12.75">
      <c r="A162" s="55">
        <v>221</v>
      </c>
      <c r="B162" s="56" t="s">
        <v>184</v>
      </c>
      <c r="C162" s="56" t="s">
        <v>126</v>
      </c>
      <c r="D162" s="56" t="s">
        <v>161</v>
      </c>
      <c r="E162" s="56" t="s">
        <v>128</v>
      </c>
      <c r="F162" s="63">
        <v>182</v>
      </c>
      <c r="G162" s="58">
        <f>1</f>
        <v>1</v>
      </c>
      <c r="H162" s="59">
        <f t="shared" si="7"/>
        <v>182</v>
      </c>
      <c r="I162" s="60">
        <v>12.6</v>
      </c>
      <c r="J162" s="60">
        <f t="shared" si="8"/>
        <v>12.6</v>
      </c>
      <c r="K162" s="62" t="s">
        <v>132</v>
      </c>
      <c r="M162" s="34"/>
      <c r="U162" s="4"/>
    </row>
    <row r="163" spans="1:21" s="3" customFormat="1" ht="12.75">
      <c r="A163" s="55">
        <v>299</v>
      </c>
      <c r="B163" s="56" t="s">
        <v>185</v>
      </c>
      <c r="C163" s="56" t="s">
        <v>126</v>
      </c>
      <c r="D163" s="56" t="s">
        <v>134</v>
      </c>
      <c r="E163" s="56" t="s">
        <v>128</v>
      </c>
      <c r="F163" s="57">
        <v>42</v>
      </c>
      <c r="G163" s="58">
        <v>1</v>
      </c>
      <c r="H163" s="59">
        <f t="shared" si="7"/>
        <v>42</v>
      </c>
      <c r="I163" s="60">
        <v>3.36</v>
      </c>
      <c r="J163" s="60">
        <f t="shared" si="8"/>
        <v>3.36</v>
      </c>
      <c r="K163" s="62" t="s">
        <v>132</v>
      </c>
      <c r="M163" s="34"/>
      <c r="U163" s="4"/>
    </row>
    <row r="164" spans="1:21" s="3" customFormat="1" ht="12.75">
      <c r="A164" s="55">
        <v>307</v>
      </c>
      <c r="B164" s="56" t="s">
        <v>186</v>
      </c>
      <c r="C164" s="56" t="s">
        <v>126</v>
      </c>
      <c r="D164" s="56" t="s">
        <v>127</v>
      </c>
      <c r="E164" s="56" t="s">
        <v>128</v>
      </c>
      <c r="F164" s="57">
        <v>15</v>
      </c>
      <c r="G164" s="58">
        <v>2</v>
      </c>
      <c r="H164" s="59">
        <f t="shared" si="7"/>
        <v>30</v>
      </c>
      <c r="I164" s="60">
        <v>1.428</v>
      </c>
      <c r="J164" s="60">
        <f t="shared" si="8"/>
        <v>2.856</v>
      </c>
      <c r="K164" s="62"/>
      <c r="M164" s="34"/>
      <c r="U164" s="4"/>
    </row>
    <row r="165" spans="1:21" s="3" customFormat="1" ht="25.5">
      <c r="A165" s="55">
        <v>315</v>
      </c>
      <c r="B165" s="56" t="s">
        <v>187</v>
      </c>
      <c r="C165" s="56" t="s">
        <v>188</v>
      </c>
      <c r="D165" s="56" t="s">
        <v>128</v>
      </c>
      <c r="E165" s="56" t="s">
        <v>189</v>
      </c>
      <c r="F165" s="63">
        <v>25</v>
      </c>
      <c r="G165" s="58">
        <v>1</v>
      </c>
      <c r="H165" s="59">
        <f t="shared" si="7"/>
        <v>25</v>
      </c>
      <c r="I165" s="60">
        <v>2.268</v>
      </c>
      <c r="J165" s="60">
        <f t="shared" si="8"/>
        <v>2.268</v>
      </c>
      <c r="K165" s="62" t="s">
        <v>132</v>
      </c>
      <c r="M165" s="34"/>
      <c r="U165" s="4"/>
    </row>
    <row r="166" spans="1:21" s="3" customFormat="1" ht="12.75">
      <c r="A166" s="55">
        <v>331</v>
      </c>
      <c r="B166" s="56" t="s">
        <v>190</v>
      </c>
      <c r="C166" s="56" t="s">
        <v>188</v>
      </c>
      <c r="D166" s="56" t="s">
        <v>128</v>
      </c>
      <c r="E166" s="56" t="s">
        <v>191</v>
      </c>
      <c r="F166" s="63">
        <v>50</v>
      </c>
      <c r="G166" s="58">
        <v>1</v>
      </c>
      <c r="H166" s="59">
        <f t="shared" si="7"/>
        <v>50</v>
      </c>
      <c r="I166" s="60">
        <v>4.788000000000001</v>
      </c>
      <c r="J166" s="60">
        <f t="shared" si="8"/>
        <v>4.788000000000001</v>
      </c>
      <c r="K166" s="62" t="s">
        <v>132</v>
      </c>
      <c r="M166" s="34"/>
      <c r="U166" s="4"/>
    </row>
    <row r="167" spans="1:21" s="3" customFormat="1" ht="12.75">
      <c r="A167" s="55">
        <v>340</v>
      </c>
      <c r="B167" s="56" t="s">
        <v>192</v>
      </c>
      <c r="C167" s="56" t="s">
        <v>188</v>
      </c>
      <c r="D167" s="56" t="s">
        <v>128</v>
      </c>
      <c r="E167" s="56" t="s">
        <v>189</v>
      </c>
      <c r="F167" s="63">
        <v>35</v>
      </c>
      <c r="G167" s="58">
        <v>13</v>
      </c>
      <c r="H167" s="59">
        <f t="shared" si="7"/>
        <v>455</v>
      </c>
      <c r="I167" s="60">
        <v>3.08</v>
      </c>
      <c r="J167" s="60">
        <f t="shared" si="8"/>
        <v>40.04</v>
      </c>
      <c r="K167" s="62" t="s">
        <v>132</v>
      </c>
      <c r="M167" s="34"/>
      <c r="U167" s="4"/>
    </row>
    <row r="168" spans="1:21" s="3" customFormat="1" ht="25.5">
      <c r="A168" s="55">
        <v>348</v>
      </c>
      <c r="B168" s="56" t="s">
        <v>193</v>
      </c>
      <c r="C168" s="56" t="s">
        <v>188</v>
      </c>
      <c r="D168" s="56" t="s">
        <v>128</v>
      </c>
      <c r="E168" s="56" t="s">
        <v>194</v>
      </c>
      <c r="F168" s="57">
        <v>18.5</v>
      </c>
      <c r="G168" s="58">
        <v>1</v>
      </c>
      <c r="H168" s="59">
        <f t="shared" si="7"/>
        <v>18.5</v>
      </c>
      <c r="I168" s="60">
        <v>1.736</v>
      </c>
      <c r="J168" s="60">
        <f t="shared" si="8"/>
        <v>1.736</v>
      </c>
      <c r="K168" s="62" t="s">
        <v>132</v>
      </c>
      <c r="M168" s="34"/>
      <c r="U168" s="4"/>
    </row>
    <row r="169" spans="1:21" s="3" customFormat="1" ht="12.75">
      <c r="A169" s="55">
        <v>411</v>
      </c>
      <c r="B169" s="56" t="s">
        <v>195</v>
      </c>
      <c r="C169" s="56" t="s">
        <v>188</v>
      </c>
      <c r="D169" s="56" t="s">
        <v>128</v>
      </c>
      <c r="E169" s="56" t="s">
        <v>196</v>
      </c>
      <c r="F169" s="63">
        <v>120</v>
      </c>
      <c r="G169" s="58">
        <v>1</v>
      </c>
      <c r="H169" s="59">
        <f t="shared" si="7"/>
        <v>120</v>
      </c>
      <c r="I169" s="60">
        <v>9.66</v>
      </c>
      <c r="J169" s="60">
        <f t="shared" si="8"/>
        <v>9.66</v>
      </c>
      <c r="K169" s="62" t="s">
        <v>132</v>
      </c>
      <c r="M169" s="34"/>
      <c r="U169" s="4"/>
    </row>
    <row r="170" spans="1:21" s="3" customFormat="1" ht="12.75">
      <c r="A170" s="55">
        <v>454</v>
      </c>
      <c r="B170" s="56" t="s">
        <v>197</v>
      </c>
      <c r="C170" s="56" t="s">
        <v>126</v>
      </c>
      <c r="D170" s="56" t="s">
        <v>134</v>
      </c>
      <c r="E170" s="56" t="s">
        <v>128</v>
      </c>
      <c r="F170" s="63">
        <v>54</v>
      </c>
      <c r="G170" s="58">
        <v>1</v>
      </c>
      <c r="H170" s="59">
        <f t="shared" si="7"/>
        <v>54</v>
      </c>
      <c r="I170" s="60">
        <v>4.9</v>
      </c>
      <c r="J170" s="60">
        <f t="shared" si="8"/>
        <v>4.9</v>
      </c>
      <c r="K170" s="62" t="s">
        <v>132</v>
      </c>
      <c r="M170" s="34"/>
      <c r="U170" s="4"/>
    </row>
    <row r="171" spans="1:21" s="3" customFormat="1" ht="12.75">
      <c r="A171" s="55">
        <v>455</v>
      </c>
      <c r="B171" s="56" t="s">
        <v>198</v>
      </c>
      <c r="C171" s="56" t="s">
        <v>126</v>
      </c>
      <c r="D171" s="56" t="s">
        <v>134</v>
      </c>
      <c r="E171" s="56" t="s">
        <v>128</v>
      </c>
      <c r="F171" s="63">
        <v>57</v>
      </c>
      <c r="G171" s="58">
        <f>1+1+1+1</f>
        <v>4</v>
      </c>
      <c r="H171" s="59">
        <f t="shared" si="7"/>
        <v>228</v>
      </c>
      <c r="I171" s="60">
        <v>3.36</v>
      </c>
      <c r="J171" s="60">
        <f t="shared" si="8"/>
        <v>13.44</v>
      </c>
      <c r="K171" s="62" t="s">
        <v>132</v>
      </c>
      <c r="M171" s="34"/>
      <c r="U171" s="4"/>
    </row>
    <row r="172" spans="1:21" s="3" customFormat="1" ht="12.75">
      <c r="A172" s="55">
        <v>460</v>
      </c>
      <c r="B172" s="56" t="s">
        <v>199</v>
      </c>
      <c r="C172" s="56" t="s">
        <v>126</v>
      </c>
      <c r="D172" s="56" t="s">
        <v>127</v>
      </c>
      <c r="E172" s="56" t="s">
        <v>128</v>
      </c>
      <c r="F172" s="63">
        <v>37</v>
      </c>
      <c r="G172" s="58">
        <f>1</f>
        <v>1</v>
      </c>
      <c r="H172" s="59">
        <f t="shared" si="7"/>
        <v>37</v>
      </c>
      <c r="I172" s="60">
        <v>3.5</v>
      </c>
      <c r="J172" s="60">
        <f t="shared" si="8"/>
        <v>3.5</v>
      </c>
      <c r="K172" s="62" t="s">
        <v>132</v>
      </c>
      <c r="M172" s="34"/>
      <c r="U172" s="4"/>
    </row>
    <row r="173" spans="1:21" s="3" customFormat="1" ht="12.75">
      <c r="A173" s="55">
        <v>492</v>
      </c>
      <c r="B173" s="56" t="s">
        <v>186</v>
      </c>
      <c r="C173" s="56" t="s">
        <v>126</v>
      </c>
      <c r="D173" s="56" t="s">
        <v>127</v>
      </c>
      <c r="E173" s="56" t="s">
        <v>128</v>
      </c>
      <c r="F173" s="57">
        <v>15</v>
      </c>
      <c r="G173" s="58">
        <f>3</f>
        <v>3</v>
      </c>
      <c r="H173" s="59">
        <f t="shared" si="7"/>
        <v>45</v>
      </c>
      <c r="I173" s="60">
        <v>1.26</v>
      </c>
      <c r="J173" s="60">
        <f t="shared" si="8"/>
        <v>3.7800000000000002</v>
      </c>
      <c r="K173" s="62" t="s">
        <v>132</v>
      </c>
      <c r="M173" s="34"/>
      <c r="U173" s="4"/>
    </row>
    <row r="174" spans="1:21" s="3" customFormat="1" ht="12.75">
      <c r="A174" s="55">
        <v>517</v>
      </c>
      <c r="B174" s="56" t="s">
        <v>200</v>
      </c>
      <c r="C174" s="56" t="s">
        <v>126</v>
      </c>
      <c r="D174" s="56" t="s">
        <v>166</v>
      </c>
      <c r="E174" s="56" t="s">
        <v>128</v>
      </c>
      <c r="F174" s="57">
        <v>7</v>
      </c>
      <c r="G174" s="58">
        <v>2</v>
      </c>
      <c r="H174" s="59">
        <f t="shared" si="7"/>
        <v>14</v>
      </c>
      <c r="I174" s="60">
        <v>0.504</v>
      </c>
      <c r="J174" s="60">
        <f t="shared" si="8"/>
        <v>1.008</v>
      </c>
      <c r="K174" s="62" t="s">
        <v>132</v>
      </c>
      <c r="M174" s="34"/>
      <c r="U174" s="4"/>
    </row>
    <row r="175" spans="1:21" s="3" customFormat="1" ht="12.75">
      <c r="A175" s="55">
        <v>519</v>
      </c>
      <c r="B175" s="56" t="s">
        <v>201</v>
      </c>
      <c r="C175" s="56" t="s">
        <v>126</v>
      </c>
      <c r="D175" s="56" t="s">
        <v>166</v>
      </c>
      <c r="E175" s="56" t="s">
        <v>128</v>
      </c>
      <c r="F175" s="63">
        <v>8.45</v>
      </c>
      <c r="G175" s="58">
        <v>2</v>
      </c>
      <c r="H175" s="59">
        <f aca="true" t="shared" si="9" ref="H175:H238">G175*F175</f>
        <v>16.9</v>
      </c>
      <c r="I175" s="60">
        <v>0.5880000000000001</v>
      </c>
      <c r="J175" s="60">
        <f t="shared" si="8"/>
        <v>1.1760000000000002</v>
      </c>
      <c r="K175" s="62" t="s">
        <v>132</v>
      </c>
      <c r="M175" s="34"/>
      <c r="U175" s="4"/>
    </row>
    <row r="176" spans="1:21" s="3" customFormat="1" ht="12.75">
      <c r="A176" s="55">
        <v>520</v>
      </c>
      <c r="B176" s="56" t="s">
        <v>202</v>
      </c>
      <c r="C176" s="56" t="s">
        <v>126</v>
      </c>
      <c r="D176" s="56" t="s">
        <v>166</v>
      </c>
      <c r="E176" s="56" t="s">
        <v>128</v>
      </c>
      <c r="F176" s="57">
        <v>9</v>
      </c>
      <c r="G176" s="58">
        <v>1</v>
      </c>
      <c r="H176" s="59">
        <f t="shared" si="9"/>
        <v>9</v>
      </c>
      <c r="I176" s="60">
        <v>0.6719999999999999</v>
      </c>
      <c r="J176" s="60">
        <f aca="true" t="shared" si="10" ref="J176:J239">G176*I176</f>
        <v>0.6719999999999999</v>
      </c>
      <c r="K176" s="62" t="s">
        <v>132</v>
      </c>
      <c r="M176" s="34"/>
      <c r="U176" s="4"/>
    </row>
    <row r="177" spans="1:21" s="3" customFormat="1" ht="25.5">
      <c r="A177" s="55">
        <v>521</v>
      </c>
      <c r="B177" s="56" t="s">
        <v>203</v>
      </c>
      <c r="C177" s="56" t="s">
        <v>126</v>
      </c>
      <c r="D177" s="56" t="s">
        <v>166</v>
      </c>
      <c r="E177" s="56" t="s">
        <v>128</v>
      </c>
      <c r="F177" s="63">
        <v>13.05</v>
      </c>
      <c r="G177" s="58">
        <v>1</v>
      </c>
      <c r="H177" s="59">
        <f t="shared" si="9"/>
        <v>13.05</v>
      </c>
      <c r="I177" s="60">
        <v>1.008</v>
      </c>
      <c r="J177" s="60">
        <f t="shared" si="10"/>
        <v>1.008</v>
      </c>
      <c r="K177" s="62" t="s">
        <v>132</v>
      </c>
      <c r="M177" s="34"/>
      <c r="U177" s="4"/>
    </row>
    <row r="178" spans="1:21" s="3" customFormat="1" ht="12.75">
      <c r="A178" s="55">
        <v>522</v>
      </c>
      <c r="B178" s="56" t="s">
        <v>204</v>
      </c>
      <c r="C178" s="56" t="s">
        <v>126</v>
      </c>
      <c r="D178" s="56" t="s">
        <v>166</v>
      </c>
      <c r="E178" s="56" t="s">
        <v>128</v>
      </c>
      <c r="F178" s="57">
        <v>8.2</v>
      </c>
      <c r="G178" s="58">
        <v>1</v>
      </c>
      <c r="H178" s="59">
        <f t="shared" si="9"/>
        <v>8.2</v>
      </c>
      <c r="I178" s="60">
        <v>0.5880000000000001</v>
      </c>
      <c r="J178" s="60">
        <f t="shared" si="10"/>
        <v>0.5880000000000001</v>
      </c>
      <c r="K178" s="62" t="s">
        <v>132</v>
      </c>
      <c r="M178" s="34"/>
      <c r="U178" s="4"/>
    </row>
    <row r="179" spans="1:21" s="3" customFormat="1" ht="25.5">
      <c r="A179" s="55">
        <v>523</v>
      </c>
      <c r="B179" s="56" t="s">
        <v>205</v>
      </c>
      <c r="C179" s="56" t="s">
        <v>126</v>
      </c>
      <c r="D179" s="56" t="s">
        <v>166</v>
      </c>
      <c r="E179" s="56" t="s">
        <v>128</v>
      </c>
      <c r="F179" s="57">
        <v>11.6</v>
      </c>
      <c r="G179" s="58">
        <v>2</v>
      </c>
      <c r="H179" s="59">
        <f t="shared" si="9"/>
        <v>23.2</v>
      </c>
      <c r="I179" s="60">
        <v>1.064</v>
      </c>
      <c r="J179" s="60">
        <f t="shared" si="10"/>
        <v>2.128</v>
      </c>
      <c r="K179" s="62" t="s">
        <v>132</v>
      </c>
      <c r="M179" s="34"/>
      <c r="U179" s="4"/>
    </row>
    <row r="180" spans="1:21" s="3" customFormat="1" ht="12.75">
      <c r="A180" s="55">
        <v>524</v>
      </c>
      <c r="B180" s="56" t="s">
        <v>206</v>
      </c>
      <c r="C180" s="56" t="s">
        <v>126</v>
      </c>
      <c r="D180" s="56" t="s">
        <v>166</v>
      </c>
      <c r="E180" s="56" t="s">
        <v>128</v>
      </c>
      <c r="F180" s="63">
        <v>8.5</v>
      </c>
      <c r="G180" s="58">
        <v>3</v>
      </c>
      <c r="H180" s="59">
        <f t="shared" si="9"/>
        <v>25.5</v>
      </c>
      <c r="I180" s="60">
        <v>0.6719999999999999</v>
      </c>
      <c r="J180" s="60">
        <f t="shared" si="10"/>
        <v>2.016</v>
      </c>
      <c r="K180" s="62" t="s">
        <v>132</v>
      </c>
      <c r="M180" s="34"/>
      <c r="U180" s="4"/>
    </row>
    <row r="181" spans="1:21" s="3" customFormat="1" ht="12.75">
      <c r="A181" s="55">
        <v>525</v>
      </c>
      <c r="B181" s="56" t="s">
        <v>207</v>
      </c>
      <c r="C181" s="56" t="s">
        <v>126</v>
      </c>
      <c r="D181" s="56" t="s">
        <v>166</v>
      </c>
      <c r="E181" s="56" t="s">
        <v>128</v>
      </c>
      <c r="F181" s="63">
        <v>6.6</v>
      </c>
      <c r="G181" s="58">
        <v>2</v>
      </c>
      <c r="H181" s="59">
        <f t="shared" si="9"/>
        <v>13.2</v>
      </c>
      <c r="I181" s="60">
        <v>0.532</v>
      </c>
      <c r="J181" s="60">
        <f t="shared" si="10"/>
        <v>1.064</v>
      </c>
      <c r="K181" s="62" t="s">
        <v>132</v>
      </c>
      <c r="M181" s="34"/>
      <c r="U181" s="4"/>
    </row>
    <row r="182" spans="1:21" s="3" customFormat="1" ht="12.75">
      <c r="A182" s="55">
        <v>526</v>
      </c>
      <c r="B182" s="56" t="s">
        <v>208</v>
      </c>
      <c r="C182" s="56" t="s">
        <v>126</v>
      </c>
      <c r="D182" s="56" t="s">
        <v>166</v>
      </c>
      <c r="E182" s="56" t="s">
        <v>128</v>
      </c>
      <c r="F182" s="57">
        <v>14.1</v>
      </c>
      <c r="G182" s="58">
        <v>1</v>
      </c>
      <c r="H182" s="59">
        <f t="shared" si="9"/>
        <v>14.1</v>
      </c>
      <c r="I182" s="60">
        <v>1.1480000000000001</v>
      </c>
      <c r="J182" s="60">
        <f t="shared" si="10"/>
        <v>1.1480000000000001</v>
      </c>
      <c r="K182" s="62" t="s">
        <v>132</v>
      </c>
      <c r="M182" s="34"/>
      <c r="U182" s="4"/>
    </row>
    <row r="183" spans="1:21" s="3" customFormat="1" ht="12.75">
      <c r="A183" s="55">
        <v>527</v>
      </c>
      <c r="B183" s="56" t="s">
        <v>209</v>
      </c>
      <c r="C183" s="56" t="s">
        <v>126</v>
      </c>
      <c r="D183" s="56" t="s">
        <v>166</v>
      </c>
      <c r="E183" s="56" t="s">
        <v>128</v>
      </c>
      <c r="F183" s="63">
        <v>7.4</v>
      </c>
      <c r="G183" s="58">
        <v>2</v>
      </c>
      <c r="H183" s="59">
        <f t="shared" si="9"/>
        <v>14.8</v>
      </c>
      <c r="I183" s="60">
        <v>0.5880000000000001</v>
      </c>
      <c r="J183" s="60">
        <f t="shared" si="10"/>
        <v>1.1760000000000002</v>
      </c>
      <c r="K183" s="62" t="s">
        <v>132</v>
      </c>
      <c r="M183" s="34"/>
      <c r="U183" s="4"/>
    </row>
    <row r="184" spans="1:21" s="3" customFormat="1" ht="12.75">
      <c r="A184" s="55">
        <v>528</v>
      </c>
      <c r="B184" s="56" t="s">
        <v>210</v>
      </c>
      <c r="C184" s="56" t="s">
        <v>126</v>
      </c>
      <c r="D184" s="56" t="s">
        <v>166</v>
      </c>
      <c r="E184" s="56" t="s">
        <v>128</v>
      </c>
      <c r="F184" s="57">
        <v>7.9</v>
      </c>
      <c r="G184" s="58">
        <v>2</v>
      </c>
      <c r="H184" s="59">
        <f t="shared" si="9"/>
        <v>15.8</v>
      </c>
      <c r="I184" s="60">
        <v>0.63</v>
      </c>
      <c r="J184" s="60">
        <f t="shared" si="10"/>
        <v>1.26</v>
      </c>
      <c r="K184" s="62" t="s">
        <v>132</v>
      </c>
      <c r="M184" s="34"/>
      <c r="U184" s="4"/>
    </row>
    <row r="185" spans="1:21" s="3" customFormat="1" ht="12.75">
      <c r="A185" s="55">
        <v>539</v>
      </c>
      <c r="B185" s="56" t="s">
        <v>211</v>
      </c>
      <c r="C185" s="56" t="s">
        <v>188</v>
      </c>
      <c r="D185" s="56" t="s">
        <v>128</v>
      </c>
      <c r="E185" s="56" t="s">
        <v>212</v>
      </c>
      <c r="F185" s="63">
        <v>23</v>
      </c>
      <c r="G185" s="58">
        <v>5</v>
      </c>
      <c r="H185" s="59">
        <f t="shared" si="9"/>
        <v>115</v>
      </c>
      <c r="I185" s="60">
        <v>1.988</v>
      </c>
      <c r="J185" s="60">
        <f t="shared" si="10"/>
        <v>9.94</v>
      </c>
      <c r="K185" s="62" t="s">
        <v>132</v>
      </c>
      <c r="M185" s="34"/>
      <c r="U185" s="4"/>
    </row>
    <row r="186" spans="1:21" s="3" customFormat="1" ht="12.75">
      <c r="A186" s="55">
        <v>540</v>
      </c>
      <c r="B186" s="56" t="s">
        <v>213</v>
      </c>
      <c r="C186" s="56" t="s">
        <v>188</v>
      </c>
      <c r="D186" s="56" t="s">
        <v>128</v>
      </c>
      <c r="E186" s="56" t="s">
        <v>212</v>
      </c>
      <c r="F186" s="63">
        <v>63</v>
      </c>
      <c r="G186" s="58">
        <v>2</v>
      </c>
      <c r="H186" s="59">
        <f t="shared" si="9"/>
        <v>126</v>
      </c>
      <c r="I186" s="60">
        <v>4.62</v>
      </c>
      <c r="J186" s="60">
        <f t="shared" si="10"/>
        <v>9.24</v>
      </c>
      <c r="K186" s="62" t="s">
        <v>132</v>
      </c>
      <c r="M186" s="34"/>
      <c r="U186" s="4"/>
    </row>
    <row r="187" spans="1:21" s="3" customFormat="1" ht="12.75">
      <c r="A187" s="55">
        <v>551</v>
      </c>
      <c r="B187" s="56" t="s">
        <v>214</v>
      </c>
      <c r="C187" s="56" t="s">
        <v>126</v>
      </c>
      <c r="D187" s="56" t="s">
        <v>127</v>
      </c>
      <c r="E187" s="56" t="s">
        <v>128</v>
      </c>
      <c r="F187" s="57">
        <v>16.8</v>
      </c>
      <c r="G187" s="58">
        <f>1</f>
        <v>1</v>
      </c>
      <c r="H187" s="59">
        <f t="shared" si="9"/>
        <v>16.8</v>
      </c>
      <c r="I187" s="60">
        <v>1.428</v>
      </c>
      <c r="J187" s="60">
        <f t="shared" si="10"/>
        <v>1.428</v>
      </c>
      <c r="K187" s="62" t="s">
        <v>132</v>
      </c>
      <c r="M187" s="34"/>
      <c r="U187" s="4"/>
    </row>
    <row r="188" spans="1:21" s="3" customFormat="1" ht="12.75">
      <c r="A188" s="55">
        <v>552</v>
      </c>
      <c r="B188" s="56" t="s">
        <v>215</v>
      </c>
      <c r="C188" s="56" t="s">
        <v>126</v>
      </c>
      <c r="D188" s="56" t="s">
        <v>127</v>
      </c>
      <c r="E188" s="56" t="s">
        <v>128</v>
      </c>
      <c r="F188" s="57">
        <v>16.9</v>
      </c>
      <c r="G188" s="58">
        <v>1</v>
      </c>
      <c r="H188" s="59">
        <f t="shared" si="9"/>
        <v>16.9</v>
      </c>
      <c r="I188" s="60">
        <v>1.428</v>
      </c>
      <c r="J188" s="60">
        <f t="shared" si="10"/>
        <v>1.428</v>
      </c>
      <c r="K188" s="62" t="s">
        <v>132</v>
      </c>
      <c r="M188" s="34"/>
      <c r="U188" s="4"/>
    </row>
    <row r="189" spans="1:21" s="3" customFormat="1" ht="12.75">
      <c r="A189" s="55">
        <v>648</v>
      </c>
      <c r="B189" s="56" t="s">
        <v>216</v>
      </c>
      <c r="C189" s="56" t="s">
        <v>126</v>
      </c>
      <c r="D189" s="56" t="s">
        <v>217</v>
      </c>
      <c r="E189" s="56" t="s">
        <v>128</v>
      </c>
      <c r="F189" s="63">
        <v>85</v>
      </c>
      <c r="G189" s="58">
        <f>1+1</f>
        <v>2</v>
      </c>
      <c r="H189" s="59">
        <f t="shared" si="9"/>
        <v>170</v>
      </c>
      <c r="I189" s="60">
        <v>6.44</v>
      </c>
      <c r="J189" s="60">
        <f t="shared" si="10"/>
        <v>12.88</v>
      </c>
      <c r="K189" s="62" t="s">
        <v>132</v>
      </c>
      <c r="M189" s="34"/>
      <c r="U189" s="4"/>
    </row>
    <row r="190" spans="1:21" s="3" customFormat="1" ht="12.75">
      <c r="A190" s="55">
        <v>649</v>
      </c>
      <c r="B190" s="56" t="s">
        <v>218</v>
      </c>
      <c r="C190" s="56" t="s">
        <v>126</v>
      </c>
      <c r="D190" s="56" t="s">
        <v>217</v>
      </c>
      <c r="E190" s="56" t="s">
        <v>128</v>
      </c>
      <c r="F190" s="63">
        <v>21.3</v>
      </c>
      <c r="G190" s="58">
        <f>2</f>
        <v>2</v>
      </c>
      <c r="H190" s="59">
        <f t="shared" si="9"/>
        <v>42.6</v>
      </c>
      <c r="I190" s="60">
        <v>1.7079999999999997</v>
      </c>
      <c r="J190" s="60">
        <f t="shared" si="10"/>
        <v>3.4159999999999995</v>
      </c>
      <c r="K190" s="62" t="s">
        <v>132</v>
      </c>
      <c r="M190" s="34"/>
      <c r="U190" s="4"/>
    </row>
    <row r="191" spans="1:21" s="3" customFormat="1" ht="12.75">
      <c r="A191" s="55">
        <v>650</v>
      </c>
      <c r="B191" s="56" t="s">
        <v>219</v>
      </c>
      <c r="C191" s="56" t="s">
        <v>126</v>
      </c>
      <c r="D191" s="56" t="s">
        <v>217</v>
      </c>
      <c r="E191" s="56" t="s">
        <v>128</v>
      </c>
      <c r="F191" s="57">
        <v>34.7</v>
      </c>
      <c r="G191" s="58">
        <f>1</f>
        <v>1</v>
      </c>
      <c r="H191" s="59">
        <f t="shared" si="9"/>
        <v>34.7</v>
      </c>
      <c r="I191" s="60">
        <v>3.22</v>
      </c>
      <c r="J191" s="60">
        <f t="shared" si="10"/>
        <v>3.22</v>
      </c>
      <c r="K191" s="62" t="s">
        <v>132</v>
      </c>
      <c r="M191" s="34"/>
      <c r="U191" s="4"/>
    </row>
    <row r="192" spans="1:21" s="3" customFormat="1" ht="12.75">
      <c r="A192" s="55">
        <v>655</v>
      </c>
      <c r="B192" s="56" t="s">
        <v>220</v>
      </c>
      <c r="C192" s="56" t="s">
        <v>188</v>
      </c>
      <c r="D192" s="56" t="s">
        <v>128</v>
      </c>
      <c r="E192" s="56" t="s">
        <v>212</v>
      </c>
      <c r="F192" s="63">
        <v>25</v>
      </c>
      <c r="G192" s="58">
        <v>1</v>
      </c>
      <c r="H192" s="59">
        <f t="shared" si="9"/>
        <v>25</v>
      </c>
      <c r="I192" s="60">
        <v>2.212</v>
      </c>
      <c r="J192" s="60">
        <f t="shared" si="10"/>
        <v>2.212</v>
      </c>
      <c r="K192" s="62" t="s">
        <v>132</v>
      </c>
      <c r="M192" s="34"/>
      <c r="U192" s="4"/>
    </row>
    <row r="193" spans="1:21" s="3" customFormat="1" ht="12.75">
      <c r="A193" s="55">
        <v>656</v>
      </c>
      <c r="B193" s="56" t="s">
        <v>221</v>
      </c>
      <c r="C193" s="56" t="s">
        <v>188</v>
      </c>
      <c r="D193" s="56" t="s">
        <v>128</v>
      </c>
      <c r="E193" s="56" t="s">
        <v>212</v>
      </c>
      <c r="F193" s="63">
        <v>52</v>
      </c>
      <c r="G193" s="58">
        <v>5</v>
      </c>
      <c r="H193" s="59">
        <f t="shared" si="9"/>
        <v>260</v>
      </c>
      <c r="I193" s="60">
        <v>3.5</v>
      </c>
      <c r="J193" s="60">
        <f t="shared" si="10"/>
        <v>17.5</v>
      </c>
      <c r="K193" s="62" t="s">
        <v>132</v>
      </c>
      <c r="M193" s="34"/>
      <c r="U193" s="4"/>
    </row>
    <row r="194" spans="1:21" s="3" customFormat="1" ht="12.75">
      <c r="A194" s="55">
        <v>657</v>
      </c>
      <c r="B194" s="56" t="s">
        <v>222</v>
      </c>
      <c r="C194" s="56" t="s">
        <v>188</v>
      </c>
      <c r="D194" s="56" t="s">
        <v>128</v>
      </c>
      <c r="E194" s="56" t="s">
        <v>212</v>
      </c>
      <c r="F194" s="63">
        <v>114</v>
      </c>
      <c r="G194" s="58">
        <v>3</v>
      </c>
      <c r="H194" s="59">
        <f t="shared" si="9"/>
        <v>342</v>
      </c>
      <c r="I194" s="60">
        <v>8.96</v>
      </c>
      <c r="J194" s="60">
        <f t="shared" si="10"/>
        <v>26.880000000000003</v>
      </c>
      <c r="K194" s="62" t="s">
        <v>132</v>
      </c>
      <c r="M194" s="34"/>
      <c r="U194" s="4"/>
    </row>
    <row r="195" spans="1:21" s="3" customFormat="1" ht="12.75">
      <c r="A195" s="55">
        <v>659</v>
      </c>
      <c r="B195" s="56" t="s">
        <v>223</v>
      </c>
      <c r="C195" s="56" t="s">
        <v>188</v>
      </c>
      <c r="D195" s="56" t="s">
        <v>128</v>
      </c>
      <c r="E195" s="56" t="s">
        <v>212</v>
      </c>
      <c r="F195" s="63">
        <v>35</v>
      </c>
      <c r="G195" s="58">
        <v>1</v>
      </c>
      <c r="H195" s="59">
        <f t="shared" si="9"/>
        <v>35</v>
      </c>
      <c r="I195" s="60">
        <v>3.22</v>
      </c>
      <c r="J195" s="60">
        <f t="shared" si="10"/>
        <v>3.22</v>
      </c>
      <c r="K195" s="62" t="s">
        <v>132</v>
      </c>
      <c r="M195" s="34"/>
      <c r="U195" s="4"/>
    </row>
    <row r="196" spans="1:21" s="3" customFormat="1" ht="25.5">
      <c r="A196" s="55">
        <v>660</v>
      </c>
      <c r="B196" s="56" t="s">
        <v>224</v>
      </c>
      <c r="C196" s="56" t="s">
        <v>188</v>
      </c>
      <c r="D196" s="56" t="s">
        <v>128</v>
      </c>
      <c r="E196" s="56" t="s">
        <v>212</v>
      </c>
      <c r="F196" s="63">
        <v>80</v>
      </c>
      <c r="G196" s="58">
        <v>1</v>
      </c>
      <c r="H196" s="59">
        <f t="shared" si="9"/>
        <v>80</v>
      </c>
      <c r="I196" s="60">
        <v>6.16</v>
      </c>
      <c r="J196" s="60">
        <f t="shared" si="10"/>
        <v>6.16</v>
      </c>
      <c r="K196" s="62" t="s">
        <v>132</v>
      </c>
      <c r="M196" s="34"/>
      <c r="U196" s="4"/>
    </row>
    <row r="197" spans="1:21" s="3" customFormat="1" ht="12.75">
      <c r="A197" s="55">
        <v>666</v>
      </c>
      <c r="B197" s="56" t="s">
        <v>225</v>
      </c>
      <c r="C197" s="56" t="s">
        <v>126</v>
      </c>
      <c r="D197" s="56" t="s">
        <v>161</v>
      </c>
      <c r="E197" s="56" t="s">
        <v>128</v>
      </c>
      <c r="F197" s="63">
        <v>92</v>
      </c>
      <c r="G197" s="58">
        <f>1</f>
        <v>1</v>
      </c>
      <c r="H197" s="59">
        <f t="shared" si="9"/>
        <v>92</v>
      </c>
      <c r="I197" s="60">
        <v>6.72</v>
      </c>
      <c r="J197" s="60">
        <f t="shared" si="10"/>
        <v>6.72</v>
      </c>
      <c r="K197" s="62" t="s">
        <v>132</v>
      </c>
      <c r="M197" s="34"/>
      <c r="U197" s="4"/>
    </row>
    <row r="198" spans="1:21" s="3" customFormat="1" ht="25.5">
      <c r="A198" s="55">
        <v>675</v>
      </c>
      <c r="B198" s="56" t="s">
        <v>226</v>
      </c>
      <c r="C198" s="56" t="s">
        <v>227</v>
      </c>
      <c r="D198" s="56" t="s">
        <v>228</v>
      </c>
      <c r="E198" s="56" t="s">
        <v>229</v>
      </c>
      <c r="F198" s="63">
        <v>0.48</v>
      </c>
      <c r="G198" s="58">
        <v>146</v>
      </c>
      <c r="H198" s="59">
        <f t="shared" si="9"/>
        <v>70.08</v>
      </c>
      <c r="I198" s="60">
        <v>0.028000000000000004</v>
      </c>
      <c r="J198" s="60">
        <f t="shared" si="10"/>
        <v>4.088000000000001</v>
      </c>
      <c r="K198" s="62" t="s">
        <v>132</v>
      </c>
      <c r="M198" s="34"/>
      <c r="U198" s="4"/>
    </row>
    <row r="199" spans="1:21" s="3" customFormat="1" ht="25.5">
      <c r="A199" s="55">
        <v>676</v>
      </c>
      <c r="B199" s="56" t="s">
        <v>230</v>
      </c>
      <c r="C199" s="56" t="s">
        <v>227</v>
      </c>
      <c r="D199" s="56" t="s">
        <v>228</v>
      </c>
      <c r="E199" s="56" t="s">
        <v>229</v>
      </c>
      <c r="F199" s="63">
        <v>0.48</v>
      </c>
      <c r="G199" s="58">
        <v>29</v>
      </c>
      <c r="H199" s="59">
        <f t="shared" si="9"/>
        <v>13.92</v>
      </c>
      <c r="I199" s="60">
        <v>0.028000000000000004</v>
      </c>
      <c r="J199" s="60">
        <f t="shared" si="10"/>
        <v>0.8120000000000002</v>
      </c>
      <c r="K199" s="62" t="s">
        <v>132</v>
      </c>
      <c r="M199" s="34"/>
      <c r="U199" s="4"/>
    </row>
    <row r="200" spans="1:21" s="3" customFormat="1" ht="25.5">
      <c r="A200" s="55">
        <v>680</v>
      </c>
      <c r="B200" s="56" t="s">
        <v>231</v>
      </c>
      <c r="C200" s="56" t="s">
        <v>227</v>
      </c>
      <c r="D200" s="56" t="s">
        <v>232</v>
      </c>
      <c r="E200" s="56" t="s">
        <v>233</v>
      </c>
      <c r="F200" s="63">
        <v>0.03</v>
      </c>
      <c r="G200" s="58">
        <f>180</f>
        <v>180</v>
      </c>
      <c r="H200" s="59">
        <f t="shared" si="9"/>
        <v>5.3999999999999995</v>
      </c>
      <c r="I200" s="60">
        <v>0.004</v>
      </c>
      <c r="J200" s="60">
        <f t="shared" si="10"/>
        <v>0.72</v>
      </c>
      <c r="K200" s="62" t="s">
        <v>132</v>
      </c>
      <c r="M200" s="34"/>
      <c r="U200" s="4"/>
    </row>
    <row r="201" spans="1:21" s="3" customFormat="1" ht="12.75">
      <c r="A201" s="55">
        <v>684</v>
      </c>
      <c r="B201" s="56" t="s">
        <v>234</v>
      </c>
      <c r="C201" s="56" t="s">
        <v>227</v>
      </c>
      <c r="D201" s="56" t="s">
        <v>232</v>
      </c>
      <c r="E201" s="56" t="s">
        <v>233</v>
      </c>
      <c r="F201" s="63">
        <v>0.028</v>
      </c>
      <c r="G201" s="58">
        <f>9</f>
        <v>9</v>
      </c>
      <c r="H201" s="59">
        <f t="shared" si="9"/>
        <v>0.252</v>
      </c>
      <c r="I201" s="60">
        <v>0.004</v>
      </c>
      <c r="J201" s="60">
        <f t="shared" si="10"/>
        <v>0.036000000000000004</v>
      </c>
      <c r="K201" s="62" t="s">
        <v>132</v>
      </c>
      <c r="M201" s="34"/>
      <c r="U201" s="4"/>
    </row>
    <row r="202" spans="1:21" s="3" customFormat="1" ht="25.5">
      <c r="A202" s="55">
        <v>687</v>
      </c>
      <c r="B202" s="58" t="s">
        <v>235</v>
      </c>
      <c r="C202" s="56" t="s">
        <v>227</v>
      </c>
      <c r="D202" s="56" t="s">
        <v>232</v>
      </c>
      <c r="E202" s="56" t="s">
        <v>233</v>
      </c>
      <c r="F202" s="63">
        <v>0.01</v>
      </c>
      <c r="G202" s="58">
        <f>4</f>
        <v>4</v>
      </c>
      <c r="H202" s="59">
        <f t="shared" si="9"/>
        <v>0.04</v>
      </c>
      <c r="I202" s="60">
        <v>0.004</v>
      </c>
      <c r="J202" s="60">
        <f t="shared" si="10"/>
        <v>0.016</v>
      </c>
      <c r="K202" s="62" t="s">
        <v>132</v>
      </c>
      <c r="M202" s="34"/>
      <c r="U202" s="4"/>
    </row>
    <row r="203" spans="1:21" s="3" customFormat="1" ht="25.5">
      <c r="A203" s="55">
        <v>688</v>
      </c>
      <c r="B203" s="56" t="s">
        <v>236</v>
      </c>
      <c r="C203" s="56" t="s">
        <v>227</v>
      </c>
      <c r="D203" s="56" t="s">
        <v>232</v>
      </c>
      <c r="E203" s="56" t="s">
        <v>233</v>
      </c>
      <c r="F203" s="63">
        <v>0.03</v>
      </c>
      <c r="G203" s="58">
        <f>138</f>
        <v>138</v>
      </c>
      <c r="H203" s="59">
        <f t="shared" si="9"/>
        <v>4.14</v>
      </c>
      <c r="I203" s="60">
        <v>0.004</v>
      </c>
      <c r="J203" s="60">
        <f t="shared" si="10"/>
        <v>0.552</v>
      </c>
      <c r="K203" s="62" t="s">
        <v>132</v>
      </c>
      <c r="M203" s="34"/>
      <c r="U203" s="4"/>
    </row>
    <row r="204" spans="1:21" s="3" customFormat="1" ht="25.5">
      <c r="A204" s="55">
        <v>689</v>
      </c>
      <c r="B204" s="56" t="s">
        <v>237</v>
      </c>
      <c r="C204" s="56" t="s">
        <v>227</v>
      </c>
      <c r="D204" s="56" t="s">
        <v>232</v>
      </c>
      <c r="E204" s="56" t="s">
        <v>233</v>
      </c>
      <c r="F204" s="63">
        <v>0.01</v>
      </c>
      <c r="G204" s="58">
        <f>284</f>
        <v>284</v>
      </c>
      <c r="H204" s="59">
        <f t="shared" si="9"/>
        <v>2.84</v>
      </c>
      <c r="I204" s="60">
        <v>0.004</v>
      </c>
      <c r="J204" s="60">
        <f t="shared" si="10"/>
        <v>1.1360000000000001</v>
      </c>
      <c r="K204" s="62" t="s">
        <v>132</v>
      </c>
      <c r="M204" s="34"/>
      <c r="U204" s="4"/>
    </row>
    <row r="205" spans="1:21" s="3" customFormat="1" ht="12.75">
      <c r="A205" s="55">
        <v>704</v>
      </c>
      <c r="B205" s="56" t="s">
        <v>238</v>
      </c>
      <c r="C205" s="56" t="s">
        <v>227</v>
      </c>
      <c r="D205" s="56" t="s">
        <v>232</v>
      </c>
      <c r="E205" s="56" t="s">
        <v>233</v>
      </c>
      <c r="F205" s="63">
        <v>0.028</v>
      </c>
      <c r="G205" s="58">
        <f>217</f>
        <v>217</v>
      </c>
      <c r="H205" s="59">
        <f t="shared" si="9"/>
        <v>6.0760000000000005</v>
      </c>
      <c r="I205" s="60">
        <v>0.004</v>
      </c>
      <c r="J205" s="60">
        <f t="shared" si="10"/>
        <v>0.868</v>
      </c>
      <c r="K205" s="62" t="s">
        <v>132</v>
      </c>
      <c r="M205" s="34"/>
      <c r="U205" s="4"/>
    </row>
    <row r="206" spans="1:21" s="3" customFormat="1" ht="12.75">
      <c r="A206" s="55">
        <v>706</v>
      </c>
      <c r="B206" s="56" t="s">
        <v>239</v>
      </c>
      <c r="C206" s="56" t="s">
        <v>227</v>
      </c>
      <c r="D206" s="56" t="s">
        <v>232</v>
      </c>
      <c r="E206" s="56" t="s">
        <v>233</v>
      </c>
      <c r="F206" s="63">
        <v>0.01</v>
      </c>
      <c r="G206" s="58">
        <f>14+58</f>
        <v>72</v>
      </c>
      <c r="H206" s="59">
        <f t="shared" si="9"/>
        <v>0.72</v>
      </c>
      <c r="I206" s="60">
        <v>0.004</v>
      </c>
      <c r="J206" s="60">
        <f t="shared" si="10"/>
        <v>0.28800000000000003</v>
      </c>
      <c r="K206" s="62" t="s">
        <v>132</v>
      </c>
      <c r="M206" s="34"/>
      <c r="U206" s="4"/>
    </row>
    <row r="207" spans="1:21" s="3" customFormat="1" ht="12.75">
      <c r="A207" s="55">
        <v>707</v>
      </c>
      <c r="B207" s="56" t="s">
        <v>240</v>
      </c>
      <c r="C207" s="56" t="s">
        <v>227</v>
      </c>
      <c r="D207" s="56" t="s">
        <v>232</v>
      </c>
      <c r="E207" s="56" t="s">
        <v>233</v>
      </c>
      <c r="F207" s="63">
        <v>0.03</v>
      </c>
      <c r="G207" s="58">
        <f>71</f>
        <v>71</v>
      </c>
      <c r="H207" s="59">
        <f t="shared" si="9"/>
        <v>2.13</v>
      </c>
      <c r="I207" s="60">
        <v>0.004</v>
      </c>
      <c r="J207" s="60">
        <f t="shared" si="10"/>
        <v>0.28400000000000003</v>
      </c>
      <c r="K207" s="62" t="s">
        <v>132</v>
      </c>
      <c r="M207" s="34"/>
      <c r="U207" s="4"/>
    </row>
    <row r="208" spans="1:21" s="3" customFormat="1" ht="12.75">
      <c r="A208" s="55">
        <v>708</v>
      </c>
      <c r="B208" s="56" t="s">
        <v>241</v>
      </c>
      <c r="C208" s="56" t="s">
        <v>227</v>
      </c>
      <c r="D208" s="56" t="s">
        <v>232</v>
      </c>
      <c r="E208" s="56" t="s">
        <v>233</v>
      </c>
      <c r="F208" s="63">
        <v>0.03</v>
      </c>
      <c r="G208" s="58">
        <f>162</f>
        <v>162</v>
      </c>
      <c r="H208" s="59">
        <f t="shared" si="9"/>
        <v>4.859999999999999</v>
      </c>
      <c r="I208" s="60">
        <v>0.004</v>
      </c>
      <c r="J208" s="60">
        <f t="shared" si="10"/>
        <v>0.648</v>
      </c>
      <c r="K208" s="62" t="s">
        <v>132</v>
      </c>
      <c r="M208" s="34"/>
      <c r="U208" s="4"/>
    </row>
    <row r="209" spans="1:21" s="3" customFormat="1" ht="12.75">
      <c r="A209" s="55">
        <v>710</v>
      </c>
      <c r="B209" s="56" t="s">
        <v>242</v>
      </c>
      <c r="C209" s="56" t="s">
        <v>227</v>
      </c>
      <c r="D209" s="56" t="s">
        <v>232</v>
      </c>
      <c r="E209" s="56" t="s">
        <v>233</v>
      </c>
      <c r="F209" s="63">
        <v>0.01</v>
      </c>
      <c r="G209" s="58">
        <f>67</f>
        <v>67</v>
      </c>
      <c r="H209" s="59">
        <f t="shared" si="9"/>
        <v>0.67</v>
      </c>
      <c r="I209" s="60">
        <v>0.004</v>
      </c>
      <c r="J209" s="60">
        <f t="shared" si="10"/>
        <v>0.268</v>
      </c>
      <c r="K209" s="62" t="s">
        <v>132</v>
      </c>
      <c r="M209" s="34"/>
      <c r="U209" s="4"/>
    </row>
    <row r="210" spans="1:21" s="3" customFormat="1" ht="12.75">
      <c r="A210" s="55">
        <v>711</v>
      </c>
      <c r="B210" s="56" t="s">
        <v>243</v>
      </c>
      <c r="C210" s="56" t="s">
        <v>227</v>
      </c>
      <c r="D210" s="56" t="s">
        <v>232</v>
      </c>
      <c r="E210" s="56" t="s">
        <v>233</v>
      </c>
      <c r="F210" s="63">
        <v>0.03</v>
      </c>
      <c r="G210" s="58">
        <f>48</f>
        <v>48</v>
      </c>
      <c r="H210" s="59">
        <f t="shared" si="9"/>
        <v>1.44</v>
      </c>
      <c r="I210" s="60">
        <v>0.004</v>
      </c>
      <c r="J210" s="60">
        <f t="shared" si="10"/>
        <v>0.192</v>
      </c>
      <c r="K210" s="62" t="s">
        <v>132</v>
      </c>
      <c r="M210" s="34"/>
      <c r="U210" s="4"/>
    </row>
    <row r="211" spans="1:21" s="3" customFormat="1" ht="15">
      <c r="A211" s="55">
        <v>712</v>
      </c>
      <c r="B211" s="56" t="s">
        <v>244</v>
      </c>
      <c r="C211" s="56" t="s">
        <v>227</v>
      </c>
      <c r="D211" s="56" t="s">
        <v>232</v>
      </c>
      <c r="E211" s="56" t="s">
        <v>233</v>
      </c>
      <c r="F211" s="63">
        <v>0.028</v>
      </c>
      <c r="G211" s="58">
        <f>126+38</f>
        <v>164</v>
      </c>
      <c r="H211" s="59">
        <f t="shared" si="9"/>
        <v>4.5920000000000005</v>
      </c>
      <c r="I211" s="60">
        <v>0.004</v>
      </c>
      <c r="J211" s="60">
        <f t="shared" si="10"/>
        <v>0.656</v>
      </c>
      <c r="K211" s="62" t="s">
        <v>132</v>
      </c>
      <c r="L211" s="45"/>
      <c r="M211" s="44"/>
      <c r="U211" s="4"/>
    </row>
    <row r="212" spans="1:21" s="3" customFormat="1" ht="25.5">
      <c r="A212" s="55">
        <v>713</v>
      </c>
      <c r="B212" s="56" t="s">
        <v>245</v>
      </c>
      <c r="C212" s="56" t="s">
        <v>227</v>
      </c>
      <c r="D212" s="56" t="s">
        <v>232</v>
      </c>
      <c r="E212" s="56" t="s">
        <v>233</v>
      </c>
      <c r="F212" s="63">
        <v>0.028</v>
      </c>
      <c r="G212" s="58">
        <f>63</f>
        <v>63</v>
      </c>
      <c r="H212" s="59">
        <f t="shared" si="9"/>
        <v>1.764</v>
      </c>
      <c r="I212" s="60">
        <v>0.004</v>
      </c>
      <c r="J212" s="60">
        <f t="shared" si="10"/>
        <v>0.252</v>
      </c>
      <c r="K212" s="62" t="s">
        <v>132</v>
      </c>
      <c r="U212" s="4"/>
    </row>
    <row r="213" spans="1:21" s="3" customFormat="1" ht="25.5">
      <c r="A213" s="55">
        <v>714</v>
      </c>
      <c r="B213" s="56" t="s">
        <v>246</v>
      </c>
      <c r="C213" s="56" t="s">
        <v>227</v>
      </c>
      <c r="D213" s="56" t="s">
        <v>232</v>
      </c>
      <c r="E213" s="56" t="s">
        <v>233</v>
      </c>
      <c r="F213" s="63">
        <v>0.03</v>
      </c>
      <c r="G213" s="58">
        <f>304+85</f>
        <v>389</v>
      </c>
      <c r="H213" s="59">
        <f t="shared" si="9"/>
        <v>11.67</v>
      </c>
      <c r="I213" s="60">
        <v>0.004</v>
      </c>
      <c r="J213" s="60">
        <f t="shared" si="10"/>
        <v>1.556</v>
      </c>
      <c r="K213" s="62" t="s">
        <v>132</v>
      </c>
      <c r="U213" s="4"/>
    </row>
    <row r="214" spans="1:21" s="3" customFormat="1" ht="25.5">
      <c r="A214" s="55">
        <v>718</v>
      </c>
      <c r="B214" s="56" t="s">
        <v>247</v>
      </c>
      <c r="C214" s="56" t="s">
        <v>227</v>
      </c>
      <c r="D214" s="56" t="s">
        <v>232</v>
      </c>
      <c r="E214" s="56" t="s">
        <v>233</v>
      </c>
      <c r="F214" s="63">
        <v>0.01</v>
      </c>
      <c r="G214" s="58">
        <f>526</f>
        <v>526</v>
      </c>
      <c r="H214" s="59">
        <f t="shared" si="9"/>
        <v>5.26</v>
      </c>
      <c r="I214" s="60">
        <v>0.004</v>
      </c>
      <c r="J214" s="60">
        <f t="shared" si="10"/>
        <v>2.104</v>
      </c>
      <c r="K214" s="62" t="s">
        <v>132</v>
      </c>
      <c r="U214" s="4"/>
    </row>
    <row r="215" spans="1:21" s="3" customFormat="1" ht="25.5">
      <c r="A215" s="55">
        <v>719</v>
      </c>
      <c r="B215" s="56" t="s">
        <v>248</v>
      </c>
      <c r="C215" s="56" t="s">
        <v>227</v>
      </c>
      <c r="D215" s="56" t="s">
        <v>232</v>
      </c>
      <c r="E215" s="56" t="s">
        <v>233</v>
      </c>
      <c r="F215" s="63">
        <v>0.01</v>
      </c>
      <c r="G215" s="58">
        <f>1090+50</f>
        <v>1140</v>
      </c>
      <c r="H215" s="59">
        <f t="shared" si="9"/>
        <v>11.4</v>
      </c>
      <c r="I215" s="60">
        <v>0.004</v>
      </c>
      <c r="J215" s="60">
        <f t="shared" si="10"/>
        <v>4.5600000000000005</v>
      </c>
      <c r="K215" s="62" t="s">
        <v>132</v>
      </c>
      <c r="U215" s="4"/>
    </row>
    <row r="216" spans="1:21" s="3" customFormat="1" ht="25.5">
      <c r="A216" s="55">
        <v>720</v>
      </c>
      <c r="B216" s="56" t="s">
        <v>249</v>
      </c>
      <c r="C216" s="56" t="s">
        <v>227</v>
      </c>
      <c r="D216" s="56" t="s">
        <v>232</v>
      </c>
      <c r="E216" s="56" t="s">
        <v>233</v>
      </c>
      <c r="F216" s="63">
        <v>0.028</v>
      </c>
      <c r="G216" s="58">
        <f>123+6</f>
        <v>129</v>
      </c>
      <c r="H216" s="59">
        <f t="shared" si="9"/>
        <v>3.612</v>
      </c>
      <c r="I216" s="60">
        <v>0.004</v>
      </c>
      <c r="J216" s="60">
        <f t="shared" si="10"/>
        <v>0.516</v>
      </c>
      <c r="K216" s="62" t="s">
        <v>132</v>
      </c>
      <c r="U216" s="4"/>
    </row>
    <row r="217" spans="1:21" s="3" customFormat="1" ht="25.5">
      <c r="A217" s="55">
        <v>721</v>
      </c>
      <c r="B217" s="56" t="s">
        <v>250</v>
      </c>
      <c r="C217" s="56" t="s">
        <v>227</v>
      </c>
      <c r="D217" s="56" t="s">
        <v>232</v>
      </c>
      <c r="E217" s="56" t="s">
        <v>233</v>
      </c>
      <c r="F217" s="63">
        <v>0.01</v>
      </c>
      <c r="G217" s="58">
        <f>785+42</f>
        <v>827</v>
      </c>
      <c r="H217" s="59">
        <f t="shared" si="9"/>
        <v>8.27</v>
      </c>
      <c r="I217" s="60">
        <v>0.004</v>
      </c>
      <c r="J217" s="60">
        <f t="shared" si="10"/>
        <v>3.3080000000000003</v>
      </c>
      <c r="K217" s="62" t="s">
        <v>132</v>
      </c>
      <c r="U217" s="4"/>
    </row>
    <row r="218" spans="1:21" s="3" customFormat="1" ht="25.5">
      <c r="A218" s="55">
        <v>722</v>
      </c>
      <c r="B218" s="56" t="s">
        <v>251</v>
      </c>
      <c r="C218" s="56" t="s">
        <v>227</v>
      </c>
      <c r="D218" s="56" t="s">
        <v>232</v>
      </c>
      <c r="E218" s="56" t="s">
        <v>233</v>
      </c>
      <c r="F218" s="63">
        <v>0.01</v>
      </c>
      <c r="G218" s="58">
        <v>908</v>
      </c>
      <c r="H218" s="59">
        <f t="shared" si="9"/>
        <v>9.08</v>
      </c>
      <c r="I218" s="60">
        <v>0.004</v>
      </c>
      <c r="J218" s="60">
        <f t="shared" si="10"/>
        <v>3.632</v>
      </c>
      <c r="K218" s="62" t="s">
        <v>132</v>
      </c>
      <c r="U218" s="4"/>
    </row>
    <row r="219" spans="1:21" s="3" customFormat="1" ht="25.5">
      <c r="A219" s="55">
        <v>723</v>
      </c>
      <c r="B219" s="56" t="s">
        <v>252</v>
      </c>
      <c r="C219" s="56" t="s">
        <v>227</v>
      </c>
      <c r="D219" s="56" t="s">
        <v>232</v>
      </c>
      <c r="E219" s="56" t="s">
        <v>233</v>
      </c>
      <c r="F219" s="63">
        <v>0.01</v>
      </c>
      <c r="G219" s="58">
        <f>250+300+128</f>
        <v>678</v>
      </c>
      <c r="H219" s="59">
        <f t="shared" si="9"/>
        <v>6.78</v>
      </c>
      <c r="I219" s="60">
        <v>0.004</v>
      </c>
      <c r="J219" s="60">
        <f t="shared" si="10"/>
        <v>2.712</v>
      </c>
      <c r="K219" s="62"/>
      <c r="U219" s="4"/>
    </row>
    <row r="220" spans="1:21" s="3" customFormat="1" ht="25.5">
      <c r="A220" s="55">
        <v>728</v>
      </c>
      <c r="B220" s="56" t="s">
        <v>253</v>
      </c>
      <c r="C220" s="56" t="s">
        <v>227</v>
      </c>
      <c r="D220" s="56" t="s">
        <v>232</v>
      </c>
      <c r="E220" s="56" t="s">
        <v>233</v>
      </c>
      <c r="F220" s="63">
        <v>0.01</v>
      </c>
      <c r="G220" s="58">
        <f>131+32</f>
        <v>163</v>
      </c>
      <c r="H220" s="59">
        <f t="shared" si="9"/>
        <v>1.6300000000000001</v>
      </c>
      <c r="I220" s="60">
        <v>0.004</v>
      </c>
      <c r="J220" s="60">
        <f t="shared" si="10"/>
        <v>0.652</v>
      </c>
      <c r="K220" s="62" t="s">
        <v>132</v>
      </c>
      <c r="U220" s="4"/>
    </row>
    <row r="221" spans="1:21" s="3" customFormat="1" ht="12.75">
      <c r="A221" s="55">
        <v>729</v>
      </c>
      <c r="B221" s="56" t="s">
        <v>254</v>
      </c>
      <c r="C221" s="56" t="s">
        <v>227</v>
      </c>
      <c r="D221" s="56" t="s">
        <v>232</v>
      </c>
      <c r="E221" s="56" t="s">
        <v>233</v>
      </c>
      <c r="F221" s="63">
        <v>0.01</v>
      </c>
      <c r="G221" s="58">
        <f>34+16</f>
        <v>50</v>
      </c>
      <c r="H221" s="59">
        <f t="shared" si="9"/>
        <v>0.5</v>
      </c>
      <c r="I221" s="60">
        <v>0.004</v>
      </c>
      <c r="J221" s="60">
        <f t="shared" si="10"/>
        <v>0.2</v>
      </c>
      <c r="K221" s="62" t="s">
        <v>132</v>
      </c>
      <c r="U221" s="4"/>
    </row>
    <row r="222" spans="1:21" s="3" customFormat="1" ht="12.75">
      <c r="A222" s="55">
        <v>732</v>
      </c>
      <c r="B222" s="56" t="s">
        <v>255</v>
      </c>
      <c r="C222" s="56" t="s">
        <v>227</v>
      </c>
      <c r="D222" s="56" t="s">
        <v>232</v>
      </c>
      <c r="E222" s="56" t="s">
        <v>233</v>
      </c>
      <c r="F222" s="63">
        <v>0.028</v>
      </c>
      <c r="G222" s="58">
        <f>67</f>
        <v>67</v>
      </c>
      <c r="H222" s="59">
        <f t="shared" si="9"/>
        <v>1.8760000000000001</v>
      </c>
      <c r="I222" s="60">
        <v>0.004</v>
      </c>
      <c r="J222" s="60">
        <f t="shared" si="10"/>
        <v>0.268</v>
      </c>
      <c r="K222" s="62" t="s">
        <v>132</v>
      </c>
      <c r="U222" s="4"/>
    </row>
    <row r="223" spans="1:21" s="3" customFormat="1" ht="25.5">
      <c r="A223" s="55">
        <v>734</v>
      </c>
      <c r="B223" s="56" t="s">
        <v>256</v>
      </c>
      <c r="C223" s="56" t="s">
        <v>227</v>
      </c>
      <c r="D223" s="56" t="s">
        <v>232</v>
      </c>
      <c r="E223" s="56" t="s">
        <v>233</v>
      </c>
      <c r="F223" s="63">
        <v>0.01</v>
      </c>
      <c r="G223" s="58">
        <f>53</f>
        <v>53</v>
      </c>
      <c r="H223" s="59">
        <f t="shared" si="9"/>
        <v>0.53</v>
      </c>
      <c r="I223" s="60">
        <v>0.004</v>
      </c>
      <c r="J223" s="60">
        <f t="shared" si="10"/>
        <v>0.212</v>
      </c>
      <c r="K223" s="62" t="s">
        <v>132</v>
      </c>
      <c r="U223" s="4"/>
    </row>
    <row r="224" spans="1:21" s="3" customFormat="1" ht="12.75">
      <c r="A224" s="55">
        <v>735</v>
      </c>
      <c r="B224" s="56" t="s">
        <v>257</v>
      </c>
      <c r="C224" s="56" t="s">
        <v>227</v>
      </c>
      <c r="D224" s="56" t="s">
        <v>232</v>
      </c>
      <c r="E224" s="56" t="s">
        <v>233</v>
      </c>
      <c r="F224" s="63">
        <v>0.01</v>
      </c>
      <c r="G224" s="58">
        <f>509+47</f>
        <v>556</v>
      </c>
      <c r="H224" s="59">
        <f t="shared" si="9"/>
        <v>5.5600000000000005</v>
      </c>
      <c r="I224" s="60">
        <v>0.004</v>
      </c>
      <c r="J224" s="60">
        <f t="shared" si="10"/>
        <v>2.224</v>
      </c>
      <c r="K224" s="62" t="s">
        <v>132</v>
      </c>
      <c r="L224" s="64"/>
      <c r="U224" s="4"/>
    </row>
    <row r="225" spans="1:21" s="3" customFormat="1" ht="25.5">
      <c r="A225" s="55">
        <v>736</v>
      </c>
      <c r="B225" s="56" t="s">
        <v>258</v>
      </c>
      <c r="C225" s="56" t="s">
        <v>227</v>
      </c>
      <c r="D225" s="56" t="s">
        <v>232</v>
      </c>
      <c r="E225" s="56" t="s">
        <v>233</v>
      </c>
      <c r="F225" s="63">
        <v>0.01</v>
      </c>
      <c r="G225" s="58">
        <f>42</f>
        <v>42</v>
      </c>
      <c r="H225" s="59">
        <f t="shared" si="9"/>
        <v>0.42</v>
      </c>
      <c r="I225" s="60">
        <v>0.004</v>
      </c>
      <c r="J225" s="60">
        <f t="shared" si="10"/>
        <v>0.168</v>
      </c>
      <c r="K225" s="62" t="s">
        <v>132</v>
      </c>
      <c r="U225" s="4"/>
    </row>
    <row r="226" spans="1:21" s="3" customFormat="1" ht="12.75">
      <c r="A226" s="55">
        <v>737</v>
      </c>
      <c r="B226" s="56" t="s">
        <v>259</v>
      </c>
      <c r="C226" s="56" t="s">
        <v>227</v>
      </c>
      <c r="D226" s="56" t="s">
        <v>232</v>
      </c>
      <c r="E226" s="56" t="s">
        <v>233</v>
      </c>
      <c r="F226" s="63">
        <v>0.028</v>
      </c>
      <c r="G226" s="58">
        <f>114</f>
        <v>114</v>
      </c>
      <c r="H226" s="59">
        <f t="shared" si="9"/>
        <v>3.192</v>
      </c>
      <c r="I226" s="60">
        <v>0.004</v>
      </c>
      <c r="J226" s="60">
        <f t="shared" si="10"/>
        <v>0.456</v>
      </c>
      <c r="K226" s="62" t="s">
        <v>132</v>
      </c>
      <c r="L226" s="64"/>
      <c r="U226" s="4"/>
    </row>
    <row r="227" spans="1:21" s="3" customFormat="1" ht="12.75">
      <c r="A227" s="55">
        <v>740</v>
      </c>
      <c r="B227" s="56" t="s">
        <v>260</v>
      </c>
      <c r="C227" s="56" t="s">
        <v>227</v>
      </c>
      <c r="D227" s="56" t="s">
        <v>232</v>
      </c>
      <c r="E227" s="56" t="s">
        <v>233</v>
      </c>
      <c r="F227" s="63">
        <v>0.01</v>
      </c>
      <c r="G227" s="58">
        <f>191</f>
        <v>191</v>
      </c>
      <c r="H227" s="59">
        <f t="shared" si="9"/>
        <v>1.9100000000000001</v>
      </c>
      <c r="I227" s="60">
        <v>0.004</v>
      </c>
      <c r="J227" s="60">
        <f t="shared" si="10"/>
        <v>0.764</v>
      </c>
      <c r="K227" s="62" t="s">
        <v>132</v>
      </c>
      <c r="U227" s="4"/>
    </row>
    <row r="228" spans="1:21" s="3" customFormat="1" ht="12.75">
      <c r="A228" s="55">
        <v>741</v>
      </c>
      <c r="B228" s="56" t="s">
        <v>261</v>
      </c>
      <c r="C228" s="56" t="s">
        <v>227</v>
      </c>
      <c r="D228" s="56" t="s">
        <v>232</v>
      </c>
      <c r="E228" s="56" t="s">
        <v>233</v>
      </c>
      <c r="F228" s="63">
        <v>0.01</v>
      </c>
      <c r="G228" s="58">
        <f>232</f>
        <v>232</v>
      </c>
      <c r="H228" s="59">
        <f t="shared" si="9"/>
        <v>2.32</v>
      </c>
      <c r="I228" s="60">
        <v>0.004</v>
      </c>
      <c r="J228" s="60">
        <f t="shared" si="10"/>
        <v>0.928</v>
      </c>
      <c r="K228" s="62" t="s">
        <v>132</v>
      </c>
      <c r="U228" s="4"/>
    </row>
    <row r="229" spans="1:21" s="3" customFormat="1" ht="12.75">
      <c r="A229" s="55">
        <v>742</v>
      </c>
      <c r="B229" s="56" t="s">
        <v>262</v>
      </c>
      <c r="C229" s="56" t="s">
        <v>227</v>
      </c>
      <c r="D229" s="56" t="s">
        <v>232</v>
      </c>
      <c r="E229" s="56" t="s">
        <v>233</v>
      </c>
      <c r="F229" s="63">
        <v>0.028</v>
      </c>
      <c r="G229" s="58">
        <f>122</f>
        <v>122</v>
      </c>
      <c r="H229" s="59">
        <f t="shared" si="9"/>
        <v>3.416</v>
      </c>
      <c r="I229" s="60">
        <v>0.004</v>
      </c>
      <c r="J229" s="60">
        <f t="shared" si="10"/>
        <v>0.488</v>
      </c>
      <c r="K229" s="62" t="s">
        <v>132</v>
      </c>
      <c r="U229" s="4"/>
    </row>
    <row r="230" spans="1:21" s="3" customFormat="1" ht="25.5">
      <c r="A230" s="55">
        <v>743</v>
      </c>
      <c r="B230" s="56" t="s">
        <v>263</v>
      </c>
      <c r="C230" s="56" t="s">
        <v>227</v>
      </c>
      <c r="D230" s="56" t="s">
        <v>232</v>
      </c>
      <c r="E230" s="56" t="s">
        <v>233</v>
      </c>
      <c r="F230" s="63">
        <v>0.028</v>
      </c>
      <c r="G230" s="58">
        <f>24</f>
        <v>24</v>
      </c>
      <c r="H230" s="59">
        <f t="shared" si="9"/>
        <v>0.672</v>
      </c>
      <c r="I230" s="60">
        <v>0.004</v>
      </c>
      <c r="J230" s="60">
        <f t="shared" si="10"/>
        <v>0.096</v>
      </c>
      <c r="K230" s="62" t="s">
        <v>132</v>
      </c>
      <c r="U230" s="4"/>
    </row>
    <row r="231" spans="1:21" s="3" customFormat="1" ht="25.5">
      <c r="A231" s="55">
        <v>744</v>
      </c>
      <c r="B231" s="56" t="s">
        <v>264</v>
      </c>
      <c r="C231" s="56" t="s">
        <v>227</v>
      </c>
      <c r="D231" s="56" t="s">
        <v>232</v>
      </c>
      <c r="E231" s="56" t="s">
        <v>233</v>
      </c>
      <c r="F231" s="63">
        <v>0.028</v>
      </c>
      <c r="G231" s="58">
        <f>106</f>
        <v>106</v>
      </c>
      <c r="H231" s="59">
        <f t="shared" si="9"/>
        <v>2.968</v>
      </c>
      <c r="I231" s="60">
        <v>0.004</v>
      </c>
      <c r="J231" s="60">
        <f t="shared" si="10"/>
        <v>0.424</v>
      </c>
      <c r="K231" s="62" t="s">
        <v>132</v>
      </c>
      <c r="U231" s="4"/>
    </row>
    <row r="232" spans="1:21" s="3" customFormat="1" ht="25.5">
      <c r="A232" s="55">
        <v>746</v>
      </c>
      <c r="B232" s="56" t="s">
        <v>265</v>
      </c>
      <c r="C232" s="56" t="s">
        <v>227</v>
      </c>
      <c r="D232" s="56" t="s">
        <v>232</v>
      </c>
      <c r="E232" s="56" t="s">
        <v>233</v>
      </c>
      <c r="F232" s="63">
        <v>0.01</v>
      </c>
      <c r="G232" s="58">
        <f>57+24</f>
        <v>81</v>
      </c>
      <c r="H232" s="59">
        <f t="shared" si="9"/>
        <v>0.81</v>
      </c>
      <c r="I232" s="60">
        <v>0.004</v>
      </c>
      <c r="J232" s="60">
        <f t="shared" si="10"/>
        <v>0.324</v>
      </c>
      <c r="K232" s="62" t="s">
        <v>132</v>
      </c>
      <c r="U232" s="4"/>
    </row>
    <row r="233" spans="1:21" s="3" customFormat="1" ht="25.5">
      <c r="A233" s="55">
        <v>747</v>
      </c>
      <c r="B233" s="56" t="s">
        <v>266</v>
      </c>
      <c r="C233" s="56" t="s">
        <v>227</v>
      </c>
      <c r="D233" s="56" t="s">
        <v>232</v>
      </c>
      <c r="E233" s="56" t="s">
        <v>233</v>
      </c>
      <c r="F233" s="63">
        <v>0.028</v>
      </c>
      <c r="G233" s="58">
        <f>25</f>
        <v>25</v>
      </c>
      <c r="H233" s="59">
        <f t="shared" si="9"/>
        <v>0.7000000000000001</v>
      </c>
      <c r="I233" s="60">
        <v>0.004</v>
      </c>
      <c r="J233" s="60">
        <f t="shared" si="10"/>
        <v>0.1</v>
      </c>
      <c r="K233" s="62" t="s">
        <v>132</v>
      </c>
      <c r="U233" s="4"/>
    </row>
    <row r="234" spans="1:21" s="3" customFormat="1" ht="12.75">
      <c r="A234" s="55">
        <v>748</v>
      </c>
      <c r="B234" s="56" t="s">
        <v>267</v>
      </c>
      <c r="C234" s="56" t="s">
        <v>227</v>
      </c>
      <c r="D234" s="56" t="s">
        <v>232</v>
      </c>
      <c r="E234" s="56" t="s">
        <v>233</v>
      </c>
      <c r="F234" s="63">
        <v>0.01</v>
      </c>
      <c r="G234" s="58">
        <f>439+35</f>
        <v>474</v>
      </c>
      <c r="H234" s="59">
        <f t="shared" si="9"/>
        <v>4.74</v>
      </c>
      <c r="I234" s="60">
        <v>0.004</v>
      </c>
      <c r="J234" s="60">
        <f t="shared" si="10"/>
        <v>1.8960000000000001</v>
      </c>
      <c r="K234" s="62" t="s">
        <v>132</v>
      </c>
      <c r="U234" s="4"/>
    </row>
    <row r="235" spans="1:21" s="3" customFormat="1" ht="25.5">
      <c r="A235" s="55">
        <v>749</v>
      </c>
      <c r="B235" s="56" t="s">
        <v>265</v>
      </c>
      <c r="C235" s="56" t="s">
        <v>227</v>
      </c>
      <c r="D235" s="56" t="s">
        <v>232</v>
      </c>
      <c r="E235" s="56" t="s">
        <v>233</v>
      </c>
      <c r="F235" s="63">
        <v>0.01</v>
      </c>
      <c r="G235" s="58">
        <f>126+57</f>
        <v>183</v>
      </c>
      <c r="H235" s="59">
        <f t="shared" si="9"/>
        <v>1.83</v>
      </c>
      <c r="I235" s="60">
        <v>0.004</v>
      </c>
      <c r="J235" s="60">
        <f t="shared" si="10"/>
        <v>0.732</v>
      </c>
      <c r="K235" s="62" t="s">
        <v>132</v>
      </c>
      <c r="U235" s="4"/>
    </row>
    <row r="236" spans="1:21" s="3" customFormat="1" ht="12.75">
      <c r="A236" s="55">
        <v>752</v>
      </c>
      <c r="B236" s="56" t="s">
        <v>257</v>
      </c>
      <c r="C236" s="56" t="s">
        <v>227</v>
      </c>
      <c r="D236" s="56" t="s">
        <v>232</v>
      </c>
      <c r="E236" s="56" t="s">
        <v>233</v>
      </c>
      <c r="F236" s="63">
        <v>0.03</v>
      </c>
      <c r="G236" s="58">
        <f>77+20</f>
        <v>97</v>
      </c>
      <c r="H236" s="59">
        <f t="shared" si="9"/>
        <v>2.9099999999999997</v>
      </c>
      <c r="I236" s="60">
        <v>0.004</v>
      </c>
      <c r="J236" s="60">
        <f t="shared" si="10"/>
        <v>0.388</v>
      </c>
      <c r="K236" s="62" t="s">
        <v>132</v>
      </c>
      <c r="U236" s="4"/>
    </row>
    <row r="237" spans="1:21" s="3" customFormat="1" ht="12.75">
      <c r="A237" s="55">
        <v>753</v>
      </c>
      <c r="B237" s="56" t="s">
        <v>257</v>
      </c>
      <c r="C237" s="56" t="s">
        <v>227</v>
      </c>
      <c r="D237" s="56" t="s">
        <v>232</v>
      </c>
      <c r="E237" s="56" t="s">
        <v>233</v>
      </c>
      <c r="F237" s="63">
        <v>0.01</v>
      </c>
      <c r="G237" s="58">
        <f>579+44</f>
        <v>623</v>
      </c>
      <c r="H237" s="59">
        <f t="shared" si="9"/>
        <v>6.23</v>
      </c>
      <c r="I237" s="60">
        <v>0.004</v>
      </c>
      <c r="J237" s="60">
        <f t="shared" si="10"/>
        <v>2.492</v>
      </c>
      <c r="K237" s="62" t="s">
        <v>132</v>
      </c>
      <c r="U237" s="4"/>
    </row>
    <row r="238" spans="1:21" s="3" customFormat="1" ht="12.75">
      <c r="A238" s="55">
        <v>756</v>
      </c>
      <c r="B238" s="56" t="s">
        <v>268</v>
      </c>
      <c r="C238" s="56" t="s">
        <v>227</v>
      </c>
      <c r="D238" s="56" t="s">
        <v>232</v>
      </c>
      <c r="E238" s="56" t="s">
        <v>233</v>
      </c>
      <c r="F238" s="63">
        <v>0.01</v>
      </c>
      <c r="G238" s="58">
        <f>145+49</f>
        <v>194</v>
      </c>
      <c r="H238" s="59">
        <f t="shared" si="9"/>
        <v>1.94</v>
      </c>
      <c r="I238" s="60">
        <v>0.004</v>
      </c>
      <c r="J238" s="60">
        <f t="shared" si="10"/>
        <v>0.776</v>
      </c>
      <c r="K238" s="62" t="s">
        <v>132</v>
      </c>
      <c r="U238" s="4"/>
    </row>
    <row r="239" spans="1:21" s="3" customFormat="1" ht="25.5">
      <c r="A239" s="55">
        <v>757</v>
      </c>
      <c r="B239" s="56" t="s">
        <v>269</v>
      </c>
      <c r="C239" s="56" t="s">
        <v>227</v>
      </c>
      <c r="D239" s="56" t="s">
        <v>232</v>
      </c>
      <c r="E239" s="56" t="s">
        <v>233</v>
      </c>
      <c r="F239" s="63">
        <v>0.03</v>
      </c>
      <c r="G239" s="58">
        <f>370+42</f>
        <v>412</v>
      </c>
      <c r="H239" s="59">
        <f aca="true" t="shared" si="11" ref="H239:H302">G239*F239</f>
        <v>12.36</v>
      </c>
      <c r="I239" s="60">
        <v>0.004</v>
      </c>
      <c r="J239" s="60">
        <f t="shared" si="10"/>
        <v>1.6480000000000001</v>
      </c>
      <c r="K239" s="62" t="s">
        <v>132</v>
      </c>
      <c r="U239" s="4"/>
    </row>
    <row r="240" spans="1:21" s="3" customFormat="1" ht="12.75">
      <c r="A240" s="55">
        <v>759</v>
      </c>
      <c r="B240" s="56" t="s">
        <v>270</v>
      </c>
      <c r="C240" s="56" t="s">
        <v>227</v>
      </c>
      <c r="D240" s="56" t="s">
        <v>232</v>
      </c>
      <c r="E240" s="56" t="s">
        <v>233</v>
      </c>
      <c r="F240" s="63">
        <v>0.01</v>
      </c>
      <c r="G240" s="58">
        <f>18</f>
        <v>18</v>
      </c>
      <c r="H240" s="59">
        <f t="shared" si="11"/>
        <v>0.18</v>
      </c>
      <c r="I240" s="60">
        <v>0.004</v>
      </c>
      <c r="J240" s="60">
        <f aca="true" t="shared" si="12" ref="J240:J303">G240*I240</f>
        <v>0.07200000000000001</v>
      </c>
      <c r="K240" s="62" t="s">
        <v>132</v>
      </c>
      <c r="U240" s="4"/>
    </row>
    <row r="241" spans="1:21" s="3" customFormat="1" ht="12.75">
      <c r="A241" s="55">
        <v>760</v>
      </c>
      <c r="B241" s="56" t="s">
        <v>271</v>
      </c>
      <c r="C241" s="56" t="s">
        <v>227</v>
      </c>
      <c r="D241" s="56" t="s">
        <v>232</v>
      </c>
      <c r="E241" s="56" t="s">
        <v>233</v>
      </c>
      <c r="F241" s="63">
        <v>0.01</v>
      </c>
      <c r="G241" s="58">
        <f>39+20</f>
        <v>59</v>
      </c>
      <c r="H241" s="59">
        <f t="shared" si="11"/>
        <v>0.59</v>
      </c>
      <c r="I241" s="60">
        <v>0.004</v>
      </c>
      <c r="J241" s="60">
        <f t="shared" si="12"/>
        <v>0.23600000000000002</v>
      </c>
      <c r="K241" s="62" t="s">
        <v>132</v>
      </c>
      <c r="U241" s="4"/>
    </row>
    <row r="242" spans="1:21" s="3" customFormat="1" ht="51">
      <c r="A242" s="55">
        <v>776</v>
      </c>
      <c r="B242" s="56" t="s">
        <v>272</v>
      </c>
      <c r="C242" s="56" t="s">
        <v>273</v>
      </c>
      <c r="D242" s="56" t="s">
        <v>274</v>
      </c>
      <c r="E242" s="56" t="s">
        <v>275</v>
      </c>
      <c r="F242" s="63">
        <v>4.2</v>
      </c>
      <c r="G242" s="58">
        <f>10</f>
        <v>10</v>
      </c>
      <c r="H242" s="59">
        <f t="shared" si="11"/>
        <v>42</v>
      </c>
      <c r="I242" s="60">
        <v>0.5880000000000001</v>
      </c>
      <c r="J242" s="60">
        <f t="shared" si="12"/>
        <v>5.880000000000001</v>
      </c>
      <c r="K242" s="62" t="s">
        <v>132</v>
      </c>
      <c r="U242" s="4"/>
    </row>
    <row r="243" spans="1:21" s="3" customFormat="1" ht="51">
      <c r="A243" s="55">
        <v>777</v>
      </c>
      <c r="B243" s="56" t="s">
        <v>272</v>
      </c>
      <c r="C243" s="56" t="s">
        <v>273</v>
      </c>
      <c r="D243" s="56" t="s">
        <v>274</v>
      </c>
      <c r="E243" s="56" t="s">
        <v>276</v>
      </c>
      <c r="F243" s="63">
        <v>4.2</v>
      </c>
      <c r="G243" s="58">
        <f>10</f>
        <v>10</v>
      </c>
      <c r="H243" s="59">
        <f t="shared" si="11"/>
        <v>42</v>
      </c>
      <c r="I243" s="60">
        <v>0.5880000000000001</v>
      </c>
      <c r="J243" s="60">
        <f t="shared" si="12"/>
        <v>5.880000000000001</v>
      </c>
      <c r="K243" s="62" t="s">
        <v>132</v>
      </c>
      <c r="U243" s="4"/>
    </row>
    <row r="244" spans="1:21" s="3" customFormat="1" ht="51">
      <c r="A244" s="55">
        <v>778</v>
      </c>
      <c r="B244" s="56" t="s">
        <v>277</v>
      </c>
      <c r="C244" s="56" t="s">
        <v>273</v>
      </c>
      <c r="D244" s="56" t="s">
        <v>274</v>
      </c>
      <c r="E244" s="56" t="s">
        <v>275</v>
      </c>
      <c r="F244" s="63">
        <v>4.8</v>
      </c>
      <c r="G244" s="58">
        <f>8</f>
        <v>8</v>
      </c>
      <c r="H244" s="59">
        <f t="shared" si="11"/>
        <v>38.4</v>
      </c>
      <c r="I244" s="60">
        <v>0.6719999999999999</v>
      </c>
      <c r="J244" s="60">
        <f t="shared" si="12"/>
        <v>5.3759999999999994</v>
      </c>
      <c r="K244" s="62" t="s">
        <v>132</v>
      </c>
      <c r="U244" s="4"/>
    </row>
    <row r="245" spans="1:21" s="3" customFormat="1" ht="12.75">
      <c r="A245" s="55">
        <v>780</v>
      </c>
      <c r="B245" s="56" t="s">
        <v>278</v>
      </c>
      <c r="C245" s="56" t="s">
        <v>273</v>
      </c>
      <c r="D245" s="56" t="s">
        <v>279</v>
      </c>
      <c r="E245" s="56" t="s">
        <v>275</v>
      </c>
      <c r="F245" s="63">
        <v>4.2</v>
      </c>
      <c r="G245" s="58">
        <f>10</f>
        <v>10</v>
      </c>
      <c r="H245" s="59">
        <f t="shared" si="11"/>
        <v>42</v>
      </c>
      <c r="I245" s="60">
        <v>0.5880000000000001</v>
      </c>
      <c r="J245" s="60">
        <f t="shared" si="12"/>
        <v>5.880000000000001</v>
      </c>
      <c r="K245" s="62" t="s">
        <v>132</v>
      </c>
      <c r="U245" s="4"/>
    </row>
    <row r="246" spans="1:21" s="3" customFormat="1" ht="12.75">
      <c r="A246" s="55">
        <v>781</v>
      </c>
      <c r="B246" s="56" t="s">
        <v>278</v>
      </c>
      <c r="C246" s="56" t="s">
        <v>273</v>
      </c>
      <c r="D246" s="56" t="s">
        <v>279</v>
      </c>
      <c r="E246" s="56" t="s">
        <v>276</v>
      </c>
      <c r="F246" s="63">
        <v>4.2</v>
      </c>
      <c r="G246" s="58">
        <f>30</f>
        <v>30</v>
      </c>
      <c r="H246" s="59">
        <f t="shared" si="11"/>
        <v>126</v>
      </c>
      <c r="I246" s="60">
        <v>0.5880000000000001</v>
      </c>
      <c r="J246" s="60">
        <f t="shared" si="12"/>
        <v>17.64</v>
      </c>
      <c r="K246" s="62" t="s">
        <v>132</v>
      </c>
      <c r="U246" s="4"/>
    </row>
    <row r="247" spans="1:21" s="3" customFormat="1" ht="12.75">
      <c r="A247" s="55">
        <v>809</v>
      </c>
      <c r="B247" s="56" t="s">
        <v>278</v>
      </c>
      <c r="C247" s="56" t="s">
        <v>273</v>
      </c>
      <c r="D247" s="56" t="s">
        <v>279</v>
      </c>
      <c r="E247" s="56" t="s">
        <v>280</v>
      </c>
      <c r="F247" s="57">
        <v>4.2</v>
      </c>
      <c r="G247" s="58">
        <f>14</f>
        <v>14</v>
      </c>
      <c r="H247" s="59">
        <f t="shared" si="11"/>
        <v>58.800000000000004</v>
      </c>
      <c r="I247" s="60">
        <v>0.5880000000000001</v>
      </c>
      <c r="J247" s="60">
        <f t="shared" si="12"/>
        <v>8.232000000000001</v>
      </c>
      <c r="K247" s="62" t="s">
        <v>132</v>
      </c>
      <c r="U247" s="4"/>
    </row>
    <row r="248" spans="1:21" s="3" customFormat="1" ht="51">
      <c r="A248" s="55">
        <v>810</v>
      </c>
      <c r="B248" s="56" t="s">
        <v>277</v>
      </c>
      <c r="C248" s="56" t="s">
        <v>273</v>
      </c>
      <c r="D248" s="56" t="s">
        <v>274</v>
      </c>
      <c r="E248" s="56" t="s">
        <v>280</v>
      </c>
      <c r="F248" s="63">
        <v>4.8</v>
      </c>
      <c r="G248" s="58">
        <f>10</f>
        <v>10</v>
      </c>
      <c r="H248" s="59">
        <f t="shared" si="11"/>
        <v>48</v>
      </c>
      <c r="I248" s="60">
        <v>0.6719999999999999</v>
      </c>
      <c r="J248" s="60">
        <f t="shared" si="12"/>
        <v>6.719999999999999</v>
      </c>
      <c r="K248" s="62" t="s">
        <v>132</v>
      </c>
      <c r="U248" s="4"/>
    </row>
    <row r="249" spans="1:21" s="3" customFormat="1" ht="51">
      <c r="A249" s="55">
        <v>811</v>
      </c>
      <c r="B249" s="56" t="s">
        <v>281</v>
      </c>
      <c r="C249" s="56" t="s">
        <v>273</v>
      </c>
      <c r="D249" s="56" t="s">
        <v>274</v>
      </c>
      <c r="E249" s="56" t="s">
        <v>280</v>
      </c>
      <c r="F249" s="63">
        <v>6</v>
      </c>
      <c r="G249" s="58">
        <f>60+40</f>
        <v>100</v>
      </c>
      <c r="H249" s="59">
        <f t="shared" si="11"/>
        <v>600</v>
      </c>
      <c r="I249" s="60">
        <v>0.84</v>
      </c>
      <c r="J249" s="60">
        <f t="shared" si="12"/>
        <v>84</v>
      </c>
      <c r="K249" s="62" t="s">
        <v>132</v>
      </c>
      <c r="U249" s="4"/>
    </row>
    <row r="250" spans="1:21" s="3" customFormat="1" ht="25.5">
      <c r="A250" s="55">
        <v>848</v>
      </c>
      <c r="B250" s="56" t="s">
        <v>282</v>
      </c>
      <c r="C250" s="56" t="s">
        <v>273</v>
      </c>
      <c r="D250" s="56" t="s">
        <v>283</v>
      </c>
      <c r="E250" s="56" t="s">
        <v>275</v>
      </c>
      <c r="F250" s="63">
        <v>8.04</v>
      </c>
      <c r="G250" s="58">
        <f>4</f>
        <v>4</v>
      </c>
      <c r="H250" s="59">
        <f t="shared" si="11"/>
        <v>32.16</v>
      </c>
      <c r="I250" s="60">
        <v>1.1256</v>
      </c>
      <c r="J250" s="60">
        <f t="shared" si="12"/>
        <v>4.5024</v>
      </c>
      <c r="K250" s="62" t="s">
        <v>132</v>
      </c>
      <c r="U250" s="4"/>
    </row>
    <row r="251" spans="1:21" s="3" customFormat="1" ht="25.5">
      <c r="A251" s="55">
        <v>850</v>
      </c>
      <c r="B251" s="56" t="s">
        <v>282</v>
      </c>
      <c r="C251" s="56" t="s">
        <v>273</v>
      </c>
      <c r="D251" s="56" t="s">
        <v>283</v>
      </c>
      <c r="E251" s="56" t="s">
        <v>280</v>
      </c>
      <c r="F251" s="63">
        <v>8.04</v>
      </c>
      <c r="G251" s="58">
        <f>3-2</f>
        <v>1</v>
      </c>
      <c r="H251" s="59">
        <f t="shared" si="11"/>
        <v>8.04</v>
      </c>
      <c r="I251" s="60">
        <v>1.1256</v>
      </c>
      <c r="J251" s="60">
        <f t="shared" si="12"/>
        <v>1.1256</v>
      </c>
      <c r="K251" s="62" t="s">
        <v>132</v>
      </c>
      <c r="U251" s="4"/>
    </row>
    <row r="252" spans="1:21" s="3" customFormat="1" ht="25.5">
      <c r="A252" s="55">
        <v>981</v>
      </c>
      <c r="B252" s="56" t="s">
        <v>284</v>
      </c>
      <c r="C252" s="56" t="s">
        <v>227</v>
      </c>
      <c r="D252" s="56" t="s">
        <v>285</v>
      </c>
      <c r="E252" s="56" t="s">
        <v>286</v>
      </c>
      <c r="F252" s="63">
        <v>2.8</v>
      </c>
      <c r="G252" s="58">
        <v>48</v>
      </c>
      <c r="H252" s="59">
        <f t="shared" si="11"/>
        <v>134.39999999999998</v>
      </c>
      <c r="I252" s="60">
        <v>0.392</v>
      </c>
      <c r="J252" s="60">
        <f t="shared" si="12"/>
        <v>18.816000000000003</v>
      </c>
      <c r="K252" s="62" t="s">
        <v>132</v>
      </c>
      <c r="U252" s="4"/>
    </row>
    <row r="253" spans="1:21" s="3" customFormat="1" ht="12.75">
      <c r="A253" s="55">
        <v>984</v>
      </c>
      <c r="B253" s="56" t="s">
        <v>287</v>
      </c>
      <c r="C253" s="56" t="s">
        <v>227</v>
      </c>
      <c r="D253" s="56" t="s">
        <v>228</v>
      </c>
      <c r="E253" s="56" t="s">
        <v>288</v>
      </c>
      <c r="F253" s="63">
        <v>2.5</v>
      </c>
      <c r="G253" s="58">
        <f>12</f>
        <v>12</v>
      </c>
      <c r="H253" s="59">
        <f t="shared" si="11"/>
        <v>30</v>
      </c>
      <c r="I253" s="60">
        <v>0.35</v>
      </c>
      <c r="J253" s="60">
        <f t="shared" si="12"/>
        <v>4.199999999999999</v>
      </c>
      <c r="K253" s="62" t="s">
        <v>132</v>
      </c>
      <c r="U253" s="4"/>
    </row>
    <row r="254" spans="1:21" s="3" customFormat="1" ht="12.75">
      <c r="A254" s="55">
        <v>985</v>
      </c>
      <c r="B254" s="56" t="s">
        <v>289</v>
      </c>
      <c r="C254" s="56" t="s">
        <v>227</v>
      </c>
      <c r="D254" s="56" t="s">
        <v>228</v>
      </c>
      <c r="E254" s="56" t="s">
        <v>288</v>
      </c>
      <c r="F254" s="63">
        <v>2.5</v>
      </c>
      <c r="G254" s="58">
        <f>17</f>
        <v>17</v>
      </c>
      <c r="H254" s="59">
        <f t="shared" si="11"/>
        <v>42.5</v>
      </c>
      <c r="I254" s="60">
        <v>0.35</v>
      </c>
      <c r="J254" s="60">
        <f t="shared" si="12"/>
        <v>5.949999999999999</v>
      </c>
      <c r="K254" s="62" t="s">
        <v>132</v>
      </c>
      <c r="U254" s="4"/>
    </row>
    <row r="255" spans="1:21" s="3" customFormat="1" ht="12.75">
      <c r="A255" s="55">
        <v>986</v>
      </c>
      <c r="B255" s="56" t="s">
        <v>290</v>
      </c>
      <c r="C255" s="56" t="s">
        <v>227</v>
      </c>
      <c r="D255" s="56" t="s">
        <v>228</v>
      </c>
      <c r="E255" s="56" t="s">
        <v>288</v>
      </c>
      <c r="F255" s="63">
        <v>2.5</v>
      </c>
      <c r="G255" s="58">
        <f>60+40+60+27</f>
        <v>187</v>
      </c>
      <c r="H255" s="59">
        <f t="shared" si="11"/>
        <v>467.5</v>
      </c>
      <c r="I255" s="60">
        <v>0.35</v>
      </c>
      <c r="J255" s="60">
        <f t="shared" si="12"/>
        <v>65.45</v>
      </c>
      <c r="K255" s="62" t="s">
        <v>132</v>
      </c>
      <c r="U255" s="4"/>
    </row>
    <row r="256" spans="1:21" s="3" customFormat="1" ht="12.75">
      <c r="A256" s="55">
        <v>1025</v>
      </c>
      <c r="B256" s="58" t="s">
        <v>291</v>
      </c>
      <c r="C256" s="56" t="s">
        <v>227</v>
      </c>
      <c r="D256" s="56" t="s">
        <v>228</v>
      </c>
      <c r="E256" s="56" t="s">
        <v>229</v>
      </c>
      <c r="F256" s="57">
        <v>0.73</v>
      </c>
      <c r="G256" s="58">
        <f>68+19</f>
        <v>87</v>
      </c>
      <c r="H256" s="59">
        <f t="shared" si="11"/>
        <v>63.51</v>
      </c>
      <c r="I256" s="60">
        <v>0.1022</v>
      </c>
      <c r="J256" s="60">
        <f t="shared" si="12"/>
        <v>8.891399999999999</v>
      </c>
      <c r="K256" s="62" t="s">
        <v>132</v>
      </c>
      <c r="U256" s="4"/>
    </row>
    <row r="257" spans="1:21" s="3" customFormat="1" ht="12.75">
      <c r="A257" s="55">
        <v>1027</v>
      </c>
      <c r="B257" s="58" t="s">
        <v>292</v>
      </c>
      <c r="C257" s="56" t="s">
        <v>227</v>
      </c>
      <c r="D257" s="56" t="s">
        <v>228</v>
      </c>
      <c r="E257" s="56" t="s">
        <v>229</v>
      </c>
      <c r="F257" s="57">
        <v>1.06</v>
      </c>
      <c r="G257" s="58">
        <f>18</f>
        <v>18</v>
      </c>
      <c r="H257" s="59">
        <f t="shared" si="11"/>
        <v>19.080000000000002</v>
      </c>
      <c r="I257" s="60">
        <v>0.1484</v>
      </c>
      <c r="J257" s="60">
        <f t="shared" si="12"/>
        <v>2.6712000000000002</v>
      </c>
      <c r="K257" s="62" t="s">
        <v>132</v>
      </c>
      <c r="U257" s="4"/>
    </row>
    <row r="258" spans="1:21" s="3" customFormat="1" ht="12.75">
      <c r="A258" s="55">
        <v>1029</v>
      </c>
      <c r="B258" s="58" t="s">
        <v>293</v>
      </c>
      <c r="C258" s="56" t="s">
        <v>227</v>
      </c>
      <c r="D258" s="56" t="s">
        <v>228</v>
      </c>
      <c r="E258" s="56" t="s">
        <v>229</v>
      </c>
      <c r="F258" s="63">
        <v>0.73</v>
      </c>
      <c r="G258" s="58">
        <f>10</f>
        <v>10</v>
      </c>
      <c r="H258" s="59">
        <f t="shared" si="11"/>
        <v>7.3</v>
      </c>
      <c r="I258" s="60">
        <v>0.1022</v>
      </c>
      <c r="J258" s="60">
        <f t="shared" si="12"/>
        <v>1.022</v>
      </c>
      <c r="K258" s="62" t="s">
        <v>132</v>
      </c>
      <c r="U258" s="4"/>
    </row>
    <row r="259" spans="1:21" s="3" customFormat="1" ht="12.75">
      <c r="A259" s="55">
        <v>1030</v>
      </c>
      <c r="B259" s="56" t="s">
        <v>294</v>
      </c>
      <c r="C259" s="56" t="s">
        <v>227</v>
      </c>
      <c r="D259" s="56" t="s">
        <v>228</v>
      </c>
      <c r="E259" s="56" t="s">
        <v>295</v>
      </c>
      <c r="F259" s="57">
        <v>10.5</v>
      </c>
      <c r="G259" s="58">
        <v>20</v>
      </c>
      <c r="H259" s="59">
        <f t="shared" si="11"/>
        <v>210</v>
      </c>
      <c r="I259" s="60">
        <v>1.05</v>
      </c>
      <c r="J259" s="60">
        <f t="shared" si="12"/>
        <v>21</v>
      </c>
      <c r="K259" s="62" t="s">
        <v>132</v>
      </c>
      <c r="U259" s="4"/>
    </row>
    <row r="260" spans="1:21" s="3" customFormat="1" ht="12.75">
      <c r="A260" s="55">
        <v>1034</v>
      </c>
      <c r="B260" s="58" t="s">
        <v>296</v>
      </c>
      <c r="C260" s="56" t="s">
        <v>227</v>
      </c>
      <c r="D260" s="56" t="s">
        <v>228</v>
      </c>
      <c r="E260" s="56" t="s">
        <v>295</v>
      </c>
      <c r="F260" s="57">
        <v>10.5</v>
      </c>
      <c r="G260" s="58">
        <v>57</v>
      </c>
      <c r="H260" s="59">
        <f t="shared" si="11"/>
        <v>598.5</v>
      </c>
      <c r="I260" s="60">
        <v>1.05</v>
      </c>
      <c r="J260" s="60">
        <f t="shared" si="12"/>
        <v>59.85</v>
      </c>
      <c r="K260" s="62" t="s">
        <v>132</v>
      </c>
      <c r="U260" s="4"/>
    </row>
    <row r="261" spans="1:21" s="3" customFormat="1" ht="12.75">
      <c r="A261" s="55">
        <v>1035</v>
      </c>
      <c r="B261" s="58" t="s">
        <v>297</v>
      </c>
      <c r="C261" s="56" t="s">
        <v>227</v>
      </c>
      <c r="D261" s="56" t="s">
        <v>228</v>
      </c>
      <c r="E261" s="56" t="s">
        <v>295</v>
      </c>
      <c r="F261" s="57">
        <v>10.5</v>
      </c>
      <c r="G261" s="58">
        <f>19</f>
        <v>19</v>
      </c>
      <c r="H261" s="59">
        <f t="shared" si="11"/>
        <v>199.5</v>
      </c>
      <c r="I261" s="60">
        <v>1.05</v>
      </c>
      <c r="J261" s="60">
        <f t="shared" si="12"/>
        <v>19.95</v>
      </c>
      <c r="K261" s="62" t="s">
        <v>132</v>
      </c>
      <c r="U261" s="4"/>
    </row>
    <row r="262" spans="1:21" s="3" customFormat="1" ht="25.5">
      <c r="A262" s="55">
        <v>1106</v>
      </c>
      <c r="B262" s="58" t="s">
        <v>298</v>
      </c>
      <c r="C262" s="56" t="s">
        <v>227</v>
      </c>
      <c r="D262" s="56" t="s">
        <v>285</v>
      </c>
      <c r="E262" s="56" t="s">
        <v>299</v>
      </c>
      <c r="F262" s="57">
        <v>15.4</v>
      </c>
      <c r="G262" s="58">
        <v>2</v>
      </c>
      <c r="H262" s="59">
        <f t="shared" si="11"/>
        <v>30.8</v>
      </c>
      <c r="I262" s="60">
        <v>1.54</v>
      </c>
      <c r="J262" s="60">
        <f t="shared" si="12"/>
        <v>3.08</v>
      </c>
      <c r="K262" s="62" t="s">
        <v>132</v>
      </c>
      <c r="U262" s="4"/>
    </row>
    <row r="263" spans="1:21" s="3" customFormat="1" ht="25.5">
      <c r="A263" s="55">
        <v>1107</v>
      </c>
      <c r="B263" s="58" t="s">
        <v>300</v>
      </c>
      <c r="C263" s="56" t="s">
        <v>227</v>
      </c>
      <c r="D263" s="56" t="s">
        <v>285</v>
      </c>
      <c r="E263" s="56" t="s">
        <v>299</v>
      </c>
      <c r="F263" s="63">
        <v>15.4</v>
      </c>
      <c r="G263" s="58">
        <v>1</v>
      </c>
      <c r="H263" s="59">
        <f t="shared" si="11"/>
        <v>15.4</v>
      </c>
      <c r="I263" s="60">
        <v>1.54</v>
      </c>
      <c r="J263" s="60">
        <f t="shared" si="12"/>
        <v>1.54</v>
      </c>
      <c r="K263" s="62" t="s">
        <v>132</v>
      </c>
      <c r="U263" s="4"/>
    </row>
    <row r="264" spans="1:21" s="3" customFormat="1" ht="25.5">
      <c r="A264" s="55">
        <v>1247</v>
      </c>
      <c r="B264" s="58" t="s">
        <v>301</v>
      </c>
      <c r="C264" s="56" t="s">
        <v>227</v>
      </c>
      <c r="D264" s="56" t="s">
        <v>285</v>
      </c>
      <c r="E264" s="56" t="s">
        <v>302</v>
      </c>
      <c r="F264" s="57">
        <v>18</v>
      </c>
      <c r="G264" s="58">
        <f>5+6</f>
        <v>11</v>
      </c>
      <c r="H264" s="59">
        <f t="shared" si="11"/>
        <v>198</v>
      </c>
      <c r="I264" s="60">
        <v>1.7920000000000003</v>
      </c>
      <c r="J264" s="60">
        <f t="shared" si="12"/>
        <v>19.712000000000003</v>
      </c>
      <c r="K264" s="62" t="s">
        <v>132</v>
      </c>
      <c r="U264" s="4"/>
    </row>
    <row r="265" spans="1:21" s="3" customFormat="1" ht="25.5">
      <c r="A265" s="55">
        <v>1249</v>
      </c>
      <c r="B265" s="58" t="s">
        <v>303</v>
      </c>
      <c r="C265" s="56" t="s">
        <v>227</v>
      </c>
      <c r="D265" s="56" t="s">
        <v>285</v>
      </c>
      <c r="E265" s="56" t="s">
        <v>302</v>
      </c>
      <c r="F265" s="63">
        <v>18</v>
      </c>
      <c r="G265" s="58">
        <f>2</f>
        <v>2</v>
      </c>
      <c r="H265" s="59">
        <f t="shared" si="11"/>
        <v>36</v>
      </c>
      <c r="I265" s="60">
        <v>1.7920000000000003</v>
      </c>
      <c r="J265" s="60">
        <f t="shared" si="12"/>
        <v>3.5840000000000005</v>
      </c>
      <c r="K265" s="62" t="s">
        <v>132</v>
      </c>
      <c r="U265" s="4"/>
    </row>
    <row r="266" spans="1:21" s="3" customFormat="1" ht="12.75">
      <c r="A266" s="55">
        <v>1340</v>
      </c>
      <c r="B266" s="58" t="s">
        <v>304</v>
      </c>
      <c r="C266" s="56" t="s">
        <v>227</v>
      </c>
      <c r="D266" s="56" t="s">
        <v>305</v>
      </c>
      <c r="E266" s="56" t="s">
        <v>306</v>
      </c>
      <c r="F266" s="63">
        <v>0.65</v>
      </c>
      <c r="G266" s="58">
        <f>33-33</f>
        <v>0</v>
      </c>
      <c r="H266" s="59">
        <f t="shared" si="11"/>
        <v>0</v>
      </c>
      <c r="I266" s="60">
        <v>0.05600000000000001</v>
      </c>
      <c r="J266" s="60">
        <f t="shared" si="12"/>
        <v>0</v>
      </c>
      <c r="K266" s="62" t="s">
        <v>132</v>
      </c>
      <c r="U266" s="4"/>
    </row>
    <row r="267" spans="1:21" s="3" customFormat="1" ht="12.75">
      <c r="A267" s="55">
        <v>1341</v>
      </c>
      <c r="B267" s="58" t="s">
        <v>307</v>
      </c>
      <c r="C267" s="56" t="s">
        <v>227</v>
      </c>
      <c r="D267" s="56" t="s">
        <v>305</v>
      </c>
      <c r="E267" s="56" t="s">
        <v>306</v>
      </c>
      <c r="F267" s="63">
        <v>0.65</v>
      </c>
      <c r="G267" s="58">
        <f>55-55</f>
        <v>0</v>
      </c>
      <c r="H267" s="59">
        <f t="shared" si="11"/>
        <v>0</v>
      </c>
      <c r="I267" s="60">
        <v>0.05600000000000001</v>
      </c>
      <c r="J267" s="60">
        <f t="shared" si="12"/>
        <v>0</v>
      </c>
      <c r="K267" s="62" t="s">
        <v>132</v>
      </c>
      <c r="U267" s="4"/>
    </row>
    <row r="268" spans="1:21" s="3" customFormat="1" ht="12.75">
      <c r="A268" s="55">
        <v>1352</v>
      </c>
      <c r="B268" s="58" t="s">
        <v>308</v>
      </c>
      <c r="C268" s="56" t="s">
        <v>227</v>
      </c>
      <c r="D268" s="56" t="s">
        <v>309</v>
      </c>
      <c r="E268" s="56" t="s">
        <v>310</v>
      </c>
      <c r="F268" s="63">
        <v>6</v>
      </c>
      <c r="G268" s="58">
        <v>56</v>
      </c>
      <c r="H268" s="59">
        <f t="shared" si="11"/>
        <v>336</v>
      </c>
      <c r="I268" s="60">
        <v>0.8</v>
      </c>
      <c r="J268" s="60">
        <f t="shared" si="12"/>
        <v>44.800000000000004</v>
      </c>
      <c r="K268" s="62" t="s">
        <v>132</v>
      </c>
      <c r="U268" s="4"/>
    </row>
    <row r="269" spans="1:21" s="3" customFormat="1" ht="25.5">
      <c r="A269" s="55">
        <v>1363</v>
      </c>
      <c r="B269" s="58" t="s">
        <v>311</v>
      </c>
      <c r="C269" s="56" t="s">
        <v>227</v>
      </c>
      <c r="D269" s="56" t="s">
        <v>285</v>
      </c>
      <c r="E269" s="56" t="s">
        <v>312</v>
      </c>
      <c r="F269" s="63">
        <v>0.28</v>
      </c>
      <c r="G269" s="58">
        <v>814</v>
      </c>
      <c r="H269" s="59">
        <f t="shared" si="11"/>
        <v>227.92000000000002</v>
      </c>
      <c r="I269" s="60">
        <v>0.028000000000000004</v>
      </c>
      <c r="J269" s="60">
        <f t="shared" si="12"/>
        <v>22.792</v>
      </c>
      <c r="K269" s="62" t="s">
        <v>132</v>
      </c>
      <c r="U269" s="4"/>
    </row>
    <row r="270" spans="1:21" s="3" customFormat="1" ht="25.5">
      <c r="A270" s="55">
        <v>1372</v>
      </c>
      <c r="B270" s="58" t="s">
        <v>313</v>
      </c>
      <c r="C270" s="56" t="s">
        <v>227</v>
      </c>
      <c r="D270" s="56" t="s">
        <v>285</v>
      </c>
      <c r="E270" s="56" t="s">
        <v>312</v>
      </c>
      <c r="F270" s="63">
        <v>0.28</v>
      </c>
      <c r="G270" s="58">
        <v>700</v>
      </c>
      <c r="H270" s="59">
        <f t="shared" si="11"/>
        <v>196.00000000000003</v>
      </c>
      <c r="I270" s="60">
        <v>0.028000000000000004</v>
      </c>
      <c r="J270" s="60">
        <f t="shared" si="12"/>
        <v>19.6</v>
      </c>
      <c r="K270" s="62" t="s">
        <v>132</v>
      </c>
      <c r="U270" s="4"/>
    </row>
    <row r="271" spans="1:21" s="3" customFormat="1" ht="25.5">
      <c r="A271" s="55">
        <v>1381</v>
      </c>
      <c r="B271" s="58" t="s">
        <v>314</v>
      </c>
      <c r="C271" s="56" t="s">
        <v>227</v>
      </c>
      <c r="D271" s="56" t="s">
        <v>285</v>
      </c>
      <c r="E271" s="56" t="s">
        <v>312</v>
      </c>
      <c r="F271" s="63">
        <v>0.28</v>
      </c>
      <c r="G271" s="58">
        <v>510</v>
      </c>
      <c r="H271" s="59">
        <f t="shared" si="11"/>
        <v>142.8</v>
      </c>
      <c r="I271" s="60">
        <v>0.028000000000000004</v>
      </c>
      <c r="J271" s="60">
        <f t="shared" si="12"/>
        <v>14.280000000000003</v>
      </c>
      <c r="K271" s="62" t="s">
        <v>132</v>
      </c>
      <c r="U271" s="4"/>
    </row>
    <row r="272" spans="1:21" s="3" customFormat="1" ht="25.5">
      <c r="A272" s="55">
        <v>1399</v>
      </c>
      <c r="B272" s="58" t="s">
        <v>315</v>
      </c>
      <c r="C272" s="56" t="s">
        <v>227</v>
      </c>
      <c r="D272" s="56" t="s">
        <v>285</v>
      </c>
      <c r="E272" s="56" t="s">
        <v>299</v>
      </c>
      <c r="F272" s="63">
        <v>12.6</v>
      </c>
      <c r="G272" s="58">
        <v>3</v>
      </c>
      <c r="H272" s="59">
        <f t="shared" si="11"/>
        <v>37.8</v>
      </c>
      <c r="I272" s="60">
        <v>1.26</v>
      </c>
      <c r="J272" s="60">
        <f t="shared" si="12"/>
        <v>3.7800000000000002</v>
      </c>
      <c r="K272" s="62"/>
      <c r="U272" s="4"/>
    </row>
    <row r="273" spans="1:21" s="3" customFormat="1" ht="12.75">
      <c r="A273" s="55">
        <v>1406</v>
      </c>
      <c r="B273" s="58" t="s">
        <v>316</v>
      </c>
      <c r="C273" s="56" t="s">
        <v>227</v>
      </c>
      <c r="D273" s="56" t="s">
        <v>232</v>
      </c>
      <c r="E273" s="56" t="s">
        <v>317</v>
      </c>
      <c r="F273" s="63">
        <v>1.85</v>
      </c>
      <c r="G273" s="58">
        <f>6*130</f>
        <v>780</v>
      </c>
      <c r="H273" s="59">
        <f t="shared" si="11"/>
        <v>1443</v>
      </c>
      <c r="I273" s="60">
        <v>0.3</v>
      </c>
      <c r="J273" s="60">
        <f t="shared" si="12"/>
        <v>234</v>
      </c>
      <c r="K273" s="62" t="s">
        <v>132</v>
      </c>
      <c r="U273" s="4"/>
    </row>
    <row r="274" spans="1:21" s="3" customFormat="1" ht="12.75">
      <c r="A274" s="55">
        <v>1409</v>
      </c>
      <c r="B274" s="58" t="s">
        <v>318</v>
      </c>
      <c r="C274" s="56" t="s">
        <v>227</v>
      </c>
      <c r="D274" s="56" t="s">
        <v>228</v>
      </c>
      <c r="E274" s="56" t="s">
        <v>319</v>
      </c>
      <c r="F274" s="63">
        <v>2.4</v>
      </c>
      <c r="G274" s="58">
        <f>10*43-1</f>
        <v>429</v>
      </c>
      <c r="H274" s="59">
        <f t="shared" si="11"/>
        <v>1029.6</v>
      </c>
      <c r="I274" s="60">
        <v>0.3</v>
      </c>
      <c r="J274" s="60">
        <f t="shared" si="12"/>
        <v>128.7</v>
      </c>
      <c r="K274" s="62" t="s">
        <v>132</v>
      </c>
      <c r="U274" s="4"/>
    </row>
    <row r="275" spans="1:21" s="3" customFormat="1" ht="12.75">
      <c r="A275" s="55">
        <v>1421</v>
      </c>
      <c r="B275" s="58" t="s">
        <v>320</v>
      </c>
      <c r="C275" s="56" t="s">
        <v>227</v>
      </c>
      <c r="D275" s="56" t="s">
        <v>232</v>
      </c>
      <c r="E275" s="56" t="s">
        <v>233</v>
      </c>
      <c r="F275" s="63">
        <v>0.016</v>
      </c>
      <c r="G275" s="58">
        <f>502</f>
        <v>502</v>
      </c>
      <c r="H275" s="59">
        <f t="shared" si="11"/>
        <v>8.032</v>
      </c>
      <c r="I275" s="60">
        <v>0.004</v>
      </c>
      <c r="J275" s="60">
        <f t="shared" si="12"/>
        <v>2.008</v>
      </c>
      <c r="K275" s="62" t="s">
        <v>132</v>
      </c>
      <c r="U275" s="4"/>
    </row>
    <row r="276" spans="1:21" s="3" customFormat="1" ht="12.75">
      <c r="A276" s="55">
        <v>1425</v>
      </c>
      <c r="B276" s="58" t="s">
        <v>321</v>
      </c>
      <c r="C276" s="56" t="s">
        <v>227</v>
      </c>
      <c r="D276" s="56" t="s">
        <v>232</v>
      </c>
      <c r="E276" s="56" t="s">
        <v>233</v>
      </c>
      <c r="F276" s="63">
        <v>0.016</v>
      </c>
      <c r="G276" s="58">
        <f>181</f>
        <v>181</v>
      </c>
      <c r="H276" s="59">
        <f t="shared" si="11"/>
        <v>2.896</v>
      </c>
      <c r="I276" s="60">
        <v>0.004</v>
      </c>
      <c r="J276" s="60">
        <f t="shared" si="12"/>
        <v>0.724</v>
      </c>
      <c r="K276" s="62" t="s">
        <v>132</v>
      </c>
      <c r="U276" s="4"/>
    </row>
    <row r="277" spans="1:21" s="3" customFormat="1" ht="12.75">
      <c r="A277" s="55">
        <v>1430</v>
      </c>
      <c r="B277" s="58" t="s">
        <v>322</v>
      </c>
      <c r="C277" s="56" t="s">
        <v>227</v>
      </c>
      <c r="D277" s="56" t="s">
        <v>232</v>
      </c>
      <c r="E277" s="56" t="s">
        <v>233</v>
      </c>
      <c r="F277" s="63">
        <v>0.016</v>
      </c>
      <c r="G277" s="58">
        <f>1297</f>
        <v>1297</v>
      </c>
      <c r="H277" s="59">
        <f t="shared" si="11"/>
        <v>20.752</v>
      </c>
      <c r="I277" s="60">
        <v>0.004</v>
      </c>
      <c r="J277" s="60">
        <f t="shared" si="12"/>
        <v>5.188</v>
      </c>
      <c r="K277" s="62" t="s">
        <v>132</v>
      </c>
      <c r="U277" s="4"/>
    </row>
    <row r="278" spans="1:21" s="3" customFormat="1" ht="12.75">
      <c r="A278" s="55">
        <v>1436</v>
      </c>
      <c r="B278" s="58" t="s">
        <v>323</v>
      </c>
      <c r="C278" s="56" t="s">
        <v>227</v>
      </c>
      <c r="D278" s="56" t="s">
        <v>232</v>
      </c>
      <c r="E278" s="56" t="s">
        <v>233</v>
      </c>
      <c r="F278" s="63">
        <v>0.016</v>
      </c>
      <c r="G278" s="58">
        <f>63</f>
        <v>63</v>
      </c>
      <c r="H278" s="59">
        <f t="shared" si="11"/>
        <v>1.008</v>
      </c>
      <c r="I278" s="60">
        <v>0.004</v>
      </c>
      <c r="J278" s="60">
        <f t="shared" si="12"/>
        <v>0.252</v>
      </c>
      <c r="K278" s="62" t="s">
        <v>132</v>
      </c>
      <c r="U278" s="4"/>
    </row>
    <row r="279" spans="1:21" s="3" customFormat="1" ht="12.75">
      <c r="A279" s="55">
        <v>1471</v>
      </c>
      <c r="B279" s="58" t="s">
        <v>324</v>
      </c>
      <c r="C279" s="56" t="s">
        <v>227</v>
      </c>
      <c r="D279" s="56" t="s">
        <v>232</v>
      </c>
      <c r="E279" s="56" t="s">
        <v>233</v>
      </c>
      <c r="F279" s="63">
        <v>0.028</v>
      </c>
      <c r="G279" s="58">
        <f>213</f>
        <v>213</v>
      </c>
      <c r="H279" s="59">
        <f t="shared" si="11"/>
        <v>5.964</v>
      </c>
      <c r="I279" s="60">
        <v>0.004</v>
      </c>
      <c r="J279" s="60">
        <f t="shared" si="12"/>
        <v>0.852</v>
      </c>
      <c r="K279" s="62" t="s">
        <v>132</v>
      </c>
      <c r="U279" s="4"/>
    </row>
    <row r="280" spans="1:21" s="3" customFormat="1" ht="12.75">
      <c r="A280" s="55">
        <v>1472</v>
      </c>
      <c r="B280" s="56" t="s">
        <v>325</v>
      </c>
      <c r="C280" s="56" t="s">
        <v>227</v>
      </c>
      <c r="D280" s="56" t="s">
        <v>232</v>
      </c>
      <c r="E280" s="56" t="s">
        <v>233</v>
      </c>
      <c r="F280" s="57">
        <v>0.028</v>
      </c>
      <c r="G280" s="58">
        <f>302</f>
        <v>302</v>
      </c>
      <c r="H280" s="59">
        <f t="shared" si="11"/>
        <v>8.456</v>
      </c>
      <c r="I280" s="60">
        <v>0.004</v>
      </c>
      <c r="J280" s="60">
        <f t="shared" si="12"/>
        <v>1.208</v>
      </c>
      <c r="K280" s="62" t="s">
        <v>132</v>
      </c>
      <c r="U280" s="4"/>
    </row>
    <row r="281" spans="1:21" s="3" customFormat="1" ht="12.75">
      <c r="A281" s="55">
        <v>1473</v>
      </c>
      <c r="B281" s="56" t="s">
        <v>326</v>
      </c>
      <c r="C281" s="56" t="s">
        <v>227</v>
      </c>
      <c r="D281" s="56" t="s">
        <v>232</v>
      </c>
      <c r="E281" s="56" t="s">
        <v>233</v>
      </c>
      <c r="F281" s="57">
        <v>0.016</v>
      </c>
      <c r="G281" s="58">
        <f>122+23</f>
        <v>145</v>
      </c>
      <c r="H281" s="59">
        <f t="shared" si="11"/>
        <v>2.32</v>
      </c>
      <c r="I281" s="60">
        <v>0.004</v>
      </c>
      <c r="J281" s="60">
        <f t="shared" si="12"/>
        <v>0.58</v>
      </c>
      <c r="K281" s="62" t="s">
        <v>132</v>
      </c>
      <c r="U281" s="4"/>
    </row>
    <row r="282" spans="1:21" s="3" customFormat="1" ht="12.75">
      <c r="A282" s="55">
        <v>1474</v>
      </c>
      <c r="B282" s="56" t="s">
        <v>327</v>
      </c>
      <c r="C282" s="56" t="s">
        <v>227</v>
      </c>
      <c r="D282" s="56" t="s">
        <v>232</v>
      </c>
      <c r="E282" s="56" t="s">
        <v>233</v>
      </c>
      <c r="F282" s="57">
        <v>0.028</v>
      </c>
      <c r="G282" s="58">
        <f>204+148</f>
        <v>352</v>
      </c>
      <c r="H282" s="59">
        <f t="shared" si="11"/>
        <v>9.856</v>
      </c>
      <c r="I282" s="60">
        <v>0.004</v>
      </c>
      <c r="J282" s="60">
        <f t="shared" si="12"/>
        <v>1.408</v>
      </c>
      <c r="K282" s="62" t="s">
        <v>132</v>
      </c>
      <c r="U282" s="4"/>
    </row>
    <row r="283" spans="1:21" s="3" customFormat="1" ht="12.75">
      <c r="A283" s="55">
        <v>1475</v>
      </c>
      <c r="B283" s="58" t="s">
        <v>328</v>
      </c>
      <c r="C283" s="56" t="s">
        <v>227</v>
      </c>
      <c r="D283" s="56" t="s">
        <v>232</v>
      </c>
      <c r="E283" s="56" t="s">
        <v>233</v>
      </c>
      <c r="F283" s="63">
        <v>0.016</v>
      </c>
      <c r="G283" s="58">
        <f>430</f>
        <v>430</v>
      </c>
      <c r="H283" s="59">
        <f t="shared" si="11"/>
        <v>6.88</v>
      </c>
      <c r="I283" s="60">
        <v>0.004</v>
      </c>
      <c r="J283" s="60">
        <f t="shared" si="12"/>
        <v>1.72</v>
      </c>
      <c r="K283" s="62" t="s">
        <v>132</v>
      </c>
      <c r="U283" s="4"/>
    </row>
    <row r="284" spans="1:21" s="3" customFormat="1" ht="12.75">
      <c r="A284" s="55">
        <v>1476</v>
      </c>
      <c r="B284" s="58" t="s">
        <v>329</v>
      </c>
      <c r="C284" s="56" t="s">
        <v>227</v>
      </c>
      <c r="D284" s="56" t="s">
        <v>232</v>
      </c>
      <c r="E284" s="56" t="s">
        <v>233</v>
      </c>
      <c r="F284" s="63">
        <v>0.028</v>
      </c>
      <c r="G284" s="58">
        <f>215</f>
        <v>215</v>
      </c>
      <c r="H284" s="59">
        <f t="shared" si="11"/>
        <v>6.0200000000000005</v>
      </c>
      <c r="I284" s="60">
        <v>0.004</v>
      </c>
      <c r="J284" s="60">
        <f t="shared" si="12"/>
        <v>0.86</v>
      </c>
      <c r="K284" s="62" t="s">
        <v>132</v>
      </c>
      <c r="U284" s="4"/>
    </row>
    <row r="285" spans="1:21" s="3" customFormat="1" ht="12.75">
      <c r="A285" s="55">
        <v>1516</v>
      </c>
      <c r="B285" s="58" t="s">
        <v>330</v>
      </c>
      <c r="C285" s="56" t="s">
        <v>227</v>
      </c>
      <c r="D285" s="56" t="s">
        <v>309</v>
      </c>
      <c r="E285" s="56" t="s">
        <v>331</v>
      </c>
      <c r="F285" s="63">
        <v>1.5</v>
      </c>
      <c r="G285" s="58">
        <v>19</v>
      </c>
      <c r="H285" s="59">
        <f t="shared" si="11"/>
        <v>28.5</v>
      </c>
      <c r="I285" s="60">
        <v>0.15</v>
      </c>
      <c r="J285" s="60">
        <f t="shared" si="12"/>
        <v>2.85</v>
      </c>
      <c r="K285" s="62" t="s">
        <v>132</v>
      </c>
      <c r="U285" s="4"/>
    </row>
    <row r="286" spans="1:21" s="3" customFormat="1" ht="12.75">
      <c r="A286" s="55">
        <v>1517</v>
      </c>
      <c r="B286" s="58" t="s">
        <v>332</v>
      </c>
      <c r="C286" s="56" t="s">
        <v>227</v>
      </c>
      <c r="D286" s="56" t="s">
        <v>309</v>
      </c>
      <c r="E286" s="56" t="s">
        <v>331</v>
      </c>
      <c r="F286" s="63">
        <v>1.5</v>
      </c>
      <c r="G286" s="58">
        <v>32</v>
      </c>
      <c r="H286" s="59">
        <f t="shared" si="11"/>
        <v>48</v>
      </c>
      <c r="I286" s="60">
        <v>0.15</v>
      </c>
      <c r="J286" s="60">
        <f t="shared" si="12"/>
        <v>4.8</v>
      </c>
      <c r="K286" s="62" t="s">
        <v>132</v>
      </c>
      <c r="U286" s="4"/>
    </row>
    <row r="287" spans="1:21" s="3" customFormat="1" ht="25.5">
      <c r="A287" s="55">
        <v>1520</v>
      </c>
      <c r="B287" s="58" t="s">
        <v>333</v>
      </c>
      <c r="C287" s="56" t="s">
        <v>227</v>
      </c>
      <c r="D287" s="56" t="s">
        <v>228</v>
      </c>
      <c r="E287" s="56" t="s">
        <v>334</v>
      </c>
      <c r="F287" s="63">
        <v>1.06</v>
      </c>
      <c r="G287" s="58">
        <v>6</v>
      </c>
      <c r="H287" s="59">
        <f t="shared" si="11"/>
        <v>6.36</v>
      </c>
      <c r="I287" s="60">
        <v>0.10600000000000001</v>
      </c>
      <c r="J287" s="60">
        <f t="shared" si="12"/>
        <v>0.6360000000000001</v>
      </c>
      <c r="K287" s="62" t="s">
        <v>132</v>
      </c>
      <c r="U287" s="4"/>
    </row>
    <row r="288" spans="1:21" s="3" customFormat="1" ht="25.5">
      <c r="A288" s="55">
        <v>1521</v>
      </c>
      <c r="B288" s="58" t="s">
        <v>335</v>
      </c>
      <c r="C288" s="56" t="s">
        <v>227</v>
      </c>
      <c r="D288" s="56" t="s">
        <v>228</v>
      </c>
      <c r="E288" s="56" t="s">
        <v>334</v>
      </c>
      <c r="F288" s="63">
        <v>1.06</v>
      </c>
      <c r="G288" s="58">
        <v>9</v>
      </c>
      <c r="H288" s="59">
        <f t="shared" si="11"/>
        <v>9.540000000000001</v>
      </c>
      <c r="I288" s="60">
        <v>0.10600000000000001</v>
      </c>
      <c r="J288" s="60">
        <f t="shared" si="12"/>
        <v>0.9540000000000001</v>
      </c>
      <c r="K288" s="62" t="s">
        <v>132</v>
      </c>
      <c r="U288" s="4"/>
    </row>
    <row r="289" spans="1:21" s="3" customFormat="1" ht="25.5">
      <c r="A289" s="55">
        <v>1609</v>
      </c>
      <c r="B289" s="58" t="s">
        <v>336</v>
      </c>
      <c r="C289" s="56" t="s">
        <v>227</v>
      </c>
      <c r="D289" s="56" t="s">
        <v>285</v>
      </c>
      <c r="E289" s="56" t="s">
        <v>286</v>
      </c>
      <c r="F289" s="57">
        <v>2.8</v>
      </c>
      <c r="G289" s="58">
        <f>94+100</f>
        <v>194</v>
      </c>
      <c r="H289" s="59">
        <f t="shared" si="11"/>
        <v>543.1999999999999</v>
      </c>
      <c r="I289" s="60">
        <v>0.5</v>
      </c>
      <c r="J289" s="60">
        <f t="shared" si="12"/>
        <v>97</v>
      </c>
      <c r="K289" s="62" t="s">
        <v>132</v>
      </c>
      <c r="U289" s="4"/>
    </row>
    <row r="290" spans="1:21" s="3" customFormat="1" ht="12.75">
      <c r="A290" s="55">
        <v>1635</v>
      </c>
      <c r="B290" s="58" t="s">
        <v>337</v>
      </c>
      <c r="C290" s="56" t="s">
        <v>227</v>
      </c>
      <c r="D290" s="56" t="s">
        <v>305</v>
      </c>
      <c r="E290" s="56" t="s">
        <v>306</v>
      </c>
      <c r="F290" s="63">
        <v>0.65</v>
      </c>
      <c r="G290" s="58">
        <v>14</v>
      </c>
      <c r="H290" s="59">
        <f t="shared" si="11"/>
        <v>9.1</v>
      </c>
      <c r="I290" s="60">
        <v>0.065</v>
      </c>
      <c r="J290" s="60">
        <f t="shared" si="12"/>
        <v>0.91</v>
      </c>
      <c r="K290" s="62" t="s">
        <v>132</v>
      </c>
      <c r="U290" s="4"/>
    </row>
    <row r="291" spans="1:21" s="3" customFormat="1" ht="12.75">
      <c r="A291" s="55">
        <v>1683</v>
      </c>
      <c r="B291" s="58" t="s">
        <v>338</v>
      </c>
      <c r="C291" s="56" t="s">
        <v>227</v>
      </c>
      <c r="D291" s="56" t="s">
        <v>228</v>
      </c>
      <c r="E291" s="56" t="s">
        <v>229</v>
      </c>
      <c r="F291" s="63">
        <v>0.8</v>
      </c>
      <c r="G291" s="58">
        <v>1</v>
      </c>
      <c r="H291" s="59">
        <f t="shared" si="11"/>
        <v>0.8</v>
      </c>
      <c r="I291" s="60">
        <v>0.08</v>
      </c>
      <c r="J291" s="60">
        <f t="shared" si="12"/>
        <v>0.08</v>
      </c>
      <c r="K291" s="62" t="s">
        <v>132</v>
      </c>
      <c r="U291" s="4"/>
    </row>
    <row r="292" spans="1:21" s="3" customFormat="1" ht="12.75">
      <c r="A292" s="55">
        <v>1685</v>
      </c>
      <c r="B292" s="58" t="s">
        <v>339</v>
      </c>
      <c r="C292" s="56" t="s">
        <v>227</v>
      </c>
      <c r="D292" s="56" t="s">
        <v>228</v>
      </c>
      <c r="E292" s="56" t="s">
        <v>229</v>
      </c>
      <c r="F292" s="63">
        <v>0.8</v>
      </c>
      <c r="G292" s="58">
        <v>1</v>
      </c>
      <c r="H292" s="59">
        <f t="shared" si="11"/>
        <v>0.8</v>
      </c>
      <c r="I292" s="60">
        <v>0.08</v>
      </c>
      <c r="J292" s="60">
        <f t="shared" si="12"/>
        <v>0.08</v>
      </c>
      <c r="K292" s="62" t="s">
        <v>132</v>
      </c>
      <c r="U292" s="4"/>
    </row>
    <row r="293" spans="1:21" s="3" customFormat="1" ht="12.75">
      <c r="A293" s="55">
        <v>1686</v>
      </c>
      <c r="B293" s="58" t="s">
        <v>340</v>
      </c>
      <c r="C293" s="56" t="s">
        <v>227</v>
      </c>
      <c r="D293" s="56" t="s">
        <v>228</v>
      </c>
      <c r="E293" s="56" t="s">
        <v>229</v>
      </c>
      <c r="F293" s="63">
        <v>0.8</v>
      </c>
      <c r="G293" s="58">
        <v>1</v>
      </c>
      <c r="H293" s="59">
        <f t="shared" si="11"/>
        <v>0.8</v>
      </c>
      <c r="I293" s="60">
        <v>0.08</v>
      </c>
      <c r="J293" s="60">
        <f t="shared" si="12"/>
        <v>0.08</v>
      </c>
      <c r="K293" s="62" t="s">
        <v>132</v>
      </c>
      <c r="U293" s="4"/>
    </row>
    <row r="294" spans="1:21" s="3" customFormat="1" ht="12.75">
      <c r="A294" s="55">
        <v>1687</v>
      </c>
      <c r="B294" s="58" t="s">
        <v>341</v>
      </c>
      <c r="C294" s="56" t="s">
        <v>227</v>
      </c>
      <c r="D294" s="56" t="s">
        <v>228</v>
      </c>
      <c r="E294" s="56" t="s">
        <v>229</v>
      </c>
      <c r="F294" s="63">
        <v>0.8</v>
      </c>
      <c r="G294" s="58">
        <v>1</v>
      </c>
      <c r="H294" s="59">
        <f t="shared" si="11"/>
        <v>0.8</v>
      </c>
      <c r="I294" s="60">
        <v>0.08</v>
      </c>
      <c r="J294" s="60">
        <f t="shared" si="12"/>
        <v>0.08</v>
      </c>
      <c r="K294" s="62" t="s">
        <v>132</v>
      </c>
      <c r="U294" s="4"/>
    </row>
    <row r="295" spans="1:21" s="3" customFormat="1" ht="25.5">
      <c r="A295" s="55">
        <v>1698</v>
      </c>
      <c r="B295" s="58" t="s">
        <v>342</v>
      </c>
      <c r="C295" s="56" t="s">
        <v>227</v>
      </c>
      <c r="D295" s="56" t="s">
        <v>228</v>
      </c>
      <c r="E295" s="56" t="s">
        <v>334</v>
      </c>
      <c r="F295" s="63">
        <v>1.1</v>
      </c>
      <c r="G295" s="58">
        <v>24</v>
      </c>
      <c r="H295" s="59">
        <f t="shared" si="11"/>
        <v>26.400000000000002</v>
      </c>
      <c r="I295" s="60">
        <v>0.11</v>
      </c>
      <c r="J295" s="60">
        <f t="shared" si="12"/>
        <v>2.64</v>
      </c>
      <c r="K295" s="62" t="s">
        <v>132</v>
      </c>
      <c r="U295" s="4"/>
    </row>
    <row r="296" spans="1:21" s="3" customFormat="1" ht="25.5">
      <c r="A296" s="55">
        <v>1699</v>
      </c>
      <c r="B296" s="58" t="s">
        <v>343</v>
      </c>
      <c r="C296" s="56" t="s">
        <v>227</v>
      </c>
      <c r="D296" s="56" t="s">
        <v>228</v>
      </c>
      <c r="E296" s="56" t="s">
        <v>334</v>
      </c>
      <c r="F296" s="63">
        <v>1.1</v>
      </c>
      <c r="G296" s="58">
        <v>21</v>
      </c>
      <c r="H296" s="59">
        <f t="shared" si="11"/>
        <v>23.1</v>
      </c>
      <c r="I296" s="60">
        <v>0.11</v>
      </c>
      <c r="J296" s="60">
        <f t="shared" si="12"/>
        <v>2.31</v>
      </c>
      <c r="K296" s="62" t="s">
        <v>132</v>
      </c>
      <c r="U296" s="4"/>
    </row>
    <row r="297" spans="1:21" s="3" customFormat="1" ht="12.75">
      <c r="A297" s="55">
        <v>1706</v>
      </c>
      <c r="B297" s="56" t="s">
        <v>344</v>
      </c>
      <c r="C297" s="56" t="s">
        <v>227</v>
      </c>
      <c r="D297" s="56" t="s">
        <v>228</v>
      </c>
      <c r="E297" s="56" t="s">
        <v>345</v>
      </c>
      <c r="F297" s="57">
        <v>2.15</v>
      </c>
      <c r="G297" s="58">
        <v>45</v>
      </c>
      <c r="H297" s="59">
        <f t="shared" si="11"/>
        <v>96.75</v>
      </c>
      <c r="I297" s="60">
        <v>0.215</v>
      </c>
      <c r="J297" s="60">
        <f t="shared" si="12"/>
        <v>9.675</v>
      </c>
      <c r="K297" s="62" t="s">
        <v>132</v>
      </c>
      <c r="U297" s="4"/>
    </row>
    <row r="298" spans="1:21" s="3" customFormat="1" ht="25.5">
      <c r="A298" s="55">
        <v>1708</v>
      </c>
      <c r="B298" s="58" t="s">
        <v>346</v>
      </c>
      <c r="C298" s="56" t="s">
        <v>273</v>
      </c>
      <c r="D298" s="56" t="s">
        <v>347</v>
      </c>
      <c r="E298" s="56" t="s">
        <v>275</v>
      </c>
      <c r="F298" s="63">
        <v>5</v>
      </c>
      <c r="G298" s="58">
        <f>21</f>
        <v>21</v>
      </c>
      <c r="H298" s="59">
        <f t="shared" si="11"/>
        <v>105</v>
      </c>
      <c r="I298" s="60">
        <v>0.5</v>
      </c>
      <c r="J298" s="60">
        <f t="shared" si="12"/>
        <v>10.5</v>
      </c>
      <c r="K298" s="62" t="s">
        <v>132</v>
      </c>
      <c r="U298" s="4"/>
    </row>
    <row r="299" spans="1:21" s="3" customFormat="1" ht="25.5">
      <c r="A299" s="55">
        <v>1710</v>
      </c>
      <c r="B299" s="58" t="s">
        <v>346</v>
      </c>
      <c r="C299" s="56" t="s">
        <v>273</v>
      </c>
      <c r="D299" s="56" t="s">
        <v>347</v>
      </c>
      <c r="E299" s="56" t="s">
        <v>348</v>
      </c>
      <c r="F299" s="63">
        <v>5</v>
      </c>
      <c r="G299" s="58">
        <f>1</f>
        <v>1</v>
      </c>
      <c r="H299" s="59">
        <f t="shared" si="11"/>
        <v>5</v>
      </c>
      <c r="I299" s="60">
        <v>0.5</v>
      </c>
      <c r="J299" s="60">
        <f t="shared" si="12"/>
        <v>0.5</v>
      </c>
      <c r="K299" s="62" t="s">
        <v>132</v>
      </c>
      <c r="U299" s="4"/>
    </row>
    <row r="300" spans="1:21" s="3" customFormat="1" ht="25.5">
      <c r="A300" s="55">
        <v>1714</v>
      </c>
      <c r="B300" s="58" t="s">
        <v>346</v>
      </c>
      <c r="C300" s="56" t="s">
        <v>273</v>
      </c>
      <c r="D300" s="56" t="s">
        <v>347</v>
      </c>
      <c r="E300" s="56" t="s">
        <v>349</v>
      </c>
      <c r="F300" s="63">
        <v>5</v>
      </c>
      <c r="G300" s="58">
        <f>31</f>
        <v>31</v>
      </c>
      <c r="H300" s="59">
        <f t="shared" si="11"/>
        <v>155</v>
      </c>
      <c r="I300" s="60">
        <v>0.5</v>
      </c>
      <c r="J300" s="60">
        <f t="shared" si="12"/>
        <v>15.5</v>
      </c>
      <c r="K300" s="62" t="s">
        <v>132</v>
      </c>
      <c r="U300" s="4"/>
    </row>
    <row r="301" spans="1:21" s="3" customFormat="1" ht="25.5">
      <c r="A301" s="55">
        <v>1717</v>
      </c>
      <c r="B301" s="58" t="s">
        <v>346</v>
      </c>
      <c r="C301" s="56" t="s">
        <v>273</v>
      </c>
      <c r="D301" s="56" t="s">
        <v>347</v>
      </c>
      <c r="E301" s="56" t="s">
        <v>350</v>
      </c>
      <c r="F301" s="63">
        <v>5</v>
      </c>
      <c r="G301" s="58">
        <f>2</f>
        <v>2</v>
      </c>
      <c r="H301" s="59">
        <f t="shared" si="11"/>
        <v>10</v>
      </c>
      <c r="I301" s="60">
        <v>0.5</v>
      </c>
      <c r="J301" s="60">
        <f t="shared" si="12"/>
        <v>1</v>
      </c>
      <c r="K301" s="62" t="s">
        <v>132</v>
      </c>
      <c r="U301" s="4"/>
    </row>
    <row r="302" spans="1:21" s="3" customFormat="1" ht="25.5">
      <c r="A302" s="55">
        <v>1721</v>
      </c>
      <c r="B302" s="58" t="s">
        <v>346</v>
      </c>
      <c r="C302" s="56" t="s">
        <v>273</v>
      </c>
      <c r="D302" s="56" t="s">
        <v>347</v>
      </c>
      <c r="E302" s="56" t="s">
        <v>351</v>
      </c>
      <c r="F302" s="63">
        <v>5</v>
      </c>
      <c r="G302" s="58">
        <v>5</v>
      </c>
      <c r="H302" s="59">
        <f t="shared" si="11"/>
        <v>25</v>
      </c>
      <c r="I302" s="60">
        <v>0.5</v>
      </c>
      <c r="J302" s="60">
        <f t="shared" si="12"/>
        <v>2.5</v>
      </c>
      <c r="K302" s="62" t="s">
        <v>132</v>
      </c>
      <c r="U302" s="4"/>
    </row>
    <row r="303" spans="1:21" s="3" customFormat="1" ht="38.25">
      <c r="A303" s="55">
        <v>1750</v>
      </c>
      <c r="B303" s="58" t="s">
        <v>352</v>
      </c>
      <c r="C303" s="56" t="s">
        <v>273</v>
      </c>
      <c r="D303" s="56" t="s">
        <v>353</v>
      </c>
      <c r="E303" s="56" t="s">
        <v>348</v>
      </c>
      <c r="F303" s="63">
        <v>7</v>
      </c>
      <c r="G303" s="58">
        <f>2-2</f>
        <v>0</v>
      </c>
      <c r="H303" s="59">
        <f aca="true" t="shared" si="13" ref="H303:H366">G303*F303</f>
        <v>0</v>
      </c>
      <c r="I303" s="60">
        <v>0.7</v>
      </c>
      <c r="J303" s="60">
        <f t="shared" si="12"/>
        <v>0</v>
      </c>
      <c r="K303" s="62" t="s">
        <v>132</v>
      </c>
      <c r="U303" s="4"/>
    </row>
    <row r="304" spans="1:21" s="3" customFormat="1" ht="38.25">
      <c r="A304" s="55">
        <v>1752</v>
      </c>
      <c r="B304" s="58" t="s">
        <v>352</v>
      </c>
      <c r="C304" s="56" t="s">
        <v>273</v>
      </c>
      <c r="D304" s="56" t="s">
        <v>353</v>
      </c>
      <c r="E304" s="56" t="s">
        <v>351</v>
      </c>
      <c r="F304" s="63">
        <v>7</v>
      </c>
      <c r="G304" s="58">
        <f>1-1</f>
        <v>0</v>
      </c>
      <c r="H304" s="59">
        <f t="shared" si="13"/>
        <v>0</v>
      </c>
      <c r="I304" s="60">
        <v>0.7</v>
      </c>
      <c r="J304" s="60">
        <f aca="true" t="shared" si="14" ref="J304:J367">G304*I304</f>
        <v>0</v>
      </c>
      <c r="K304" s="62" t="s">
        <v>132</v>
      </c>
      <c r="U304" s="4"/>
    </row>
    <row r="305" spans="1:21" s="3" customFormat="1" ht="38.25">
      <c r="A305" s="55">
        <v>1755</v>
      </c>
      <c r="B305" s="58" t="s">
        <v>354</v>
      </c>
      <c r="C305" s="56" t="s">
        <v>273</v>
      </c>
      <c r="D305" s="56" t="s">
        <v>353</v>
      </c>
      <c r="E305" s="56" t="s">
        <v>275</v>
      </c>
      <c r="F305" s="63">
        <v>6</v>
      </c>
      <c r="G305" s="58">
        <f>12</f>
        <v>12</v>
      </c>
      <c r="H305" s="59">
        <f t="shared" si="13"/>
        <v>72</v>
      </c>
      <c r="I305" s="60">
        <v>0.6</v>
      </c>
      <c r="J305" s="60">
        <f t="shared" si="14"/>
        <v>7.199999999999999</v>
      </c>
      <c r="K305" s="62" t="s">
        <v>132</v>
      </c>
      <c r="U305" s="4"/>
    </row>
    <row r="306" spans="1:21" s="3" customFormat="1" ht="38.25">
      <c r="A306" s="55">
        <v>1756</v>
      </c>
      <c r="B306" s="58" t="s">
        <v>354</v>
      </c>
      <c r="C306" s="56" t="s">
        <v>273</v>
      </c>
      <c r="D306" s="56" t="s">
        <v>353</v>
      </c>
      <c r="E306" s="56" t="s">
        <v>276</v>
      </c>
      <c r="F306" s="63">
        <v>6</v>
      </c>
      <c r="G306" s="58">
        <f>6</f>
        <v>6</v>
      </c>
      <c r="H306" s="59">
        <f t="shared" si="13"/>
        <v>36</v>
      </c>
      <c r="I306" s="60">
        <v>0.6</v>
      </c>
      <c r="J306" s="60">
        <f t="shared" si="14"/>
        <v>3.5999999999999996</v>
      </c>
      <c r="K306" s="62" t="s">
        <v>132</v>
      </c>
      <c r="U306" s="4"/>
    </row>
    <row r="307" spans="1:21" s="3" customFormat="1" ht="38.25">
      <c r="A307" s="55">
        <v>1757</v>
      </c>
      <c r="B307" s="58" t="s">
        <v>354</v>
      </c>
      <c r="C307" s="56" t="s">
        <v>273</v>
      </c>
      <c r="D307" s="56" t="s">
        <v>353</v>
      </c>
      <c r="E307" s="56" t="s">
        <v>280</v>
      </c>
      <c r="F307" s="63">
        <v>6</v>
      </c>
      <c r="G307" s="58">
        <f>9</f>
        <v>9</v>
      </c>
      <c r="H307" s="59">
        <f t="shared" si="13"/>
        <v>54</v>
      </c>
      <c r="I307" s="60">
        <v>0.6</v>
      </c>
      <c r="J307" s="60">
        <f t="shared" si="14"/>
        <v>5.3999999999999995</v>
      </c>
      <c r="K307" s="62" t="s">
        <v>132</v>
      </c>
      <c r="U307" s="4"/>
    </row>
    <row r="308" spans="1:21" s="3" customFormat="1" ht="38.25">
      <c r="A308" s="55">
        <v>1758</v>
      </c>
      <c r="B308" s="58" t="s">
        <v>354</v>
      </c>
      <c r="C308" s="56" t="s">
        <v>273</v>
      </c>
      <c r="D308" s="56" t="s">
        <v>353</v>
      </c>
      <c r="E308" s="56" t="s">
        <v>348</v>
      </c>
      <c r="F308" s="63">
        <v>6</v>
      </c>
      <c r="G308" s="58">
        <f>3</f>
        <v>3</v>
      </c>
      <c r="H308" s="59">
        <f t="shared" si="13"/>
        <v>18</v>
      </c>
      <c r="I308" s="60">
        <v>0.6</v>
      </c>
      <c r="J308" s="60">
        <f t="shared" si="14"/>
        <v>1.7999999999999998</v>
      </c>
      <c r="K308" s="62" t="s">
        <v>132</v>
      </c>
      <c r="U308" s="4"/>
    </row>
    <row r="309" spans="1:21" s="3" customFormat="1" ht="38.25">
      <c r="A309" s="55">
        <v>1759</v>
      </c>
      <c r="B309" s="58" t="s">
        <v>354</v>
      </c>
      <c r="C309" s="56" t="s">
        <v>273</v>
      </c>
      <c r="D309" s="56" t="s">
        <v>353</v>
      </c>
      <c r="E309" s="56" t="s">
        <v>355</v>
      </c>
      <c r="F309" s="63">
        <v>6</v>
      </c>
      <c r="G309" s="58">
        <f>20</f>
        <v>20</v>
      </c>
      <c r="H309" s="59">
        <f t="shared" si="13"/>
        <v>120</v>
      </c>
      <c r="I309" s="60">
        <v>0.6</v>
      </c>
      <c r="J309" s="60">
        <f t="shared" si="14"/>
        <v>12</v>
      </c>
      <c r="K309" s="62" t="s">
        <v>132</v>
      </c>
      <c r="U309" s="4"/>
    </row>
    <row r="310" spans="1:21" s="3" customFormat="1" ht="38.25">
      <c r="A310" s="55">
        <v>1760</v>
      </c>
      <c r="B310" s="58" t="s">
        <v>354</v>
      </c>
      <c r="C310" s="56" t="s">
        <v>273</v>
      </c>
      <c r="D310" s="56" t="s">
        <v>353</v>
      </c>
      <c r="E310" s="56" t="s">
        <v>356</v>
      </c>
      <c r="F310" s="63">
        <v>6</v>
      </c>
      <c r="G310" s="58">
        <f>5</f>
        <v>5</v>
      </c>
      <c r="H310" s="59">
        <f t="shared" si="13"/>
        <v>30</v>
      </c>
      <c r="I310" s="60">
        <v>0.6</v>
      </c>
      <c r="J310" s="60">
        <f t="shared" si="14"/>
        <v>3</v>
      </c>
      <c r="K310" s="62" t="s">
        <v>132</v>
      </c>
      <c r="U310" s="4"/>
    </row>
    <row r="311" spans="1:21" s="3" customFormat="1" ht="38.25">
      <c r="A311" s="55">
        <v>1762</v>
      </c>
      <c r="B311" s="58" t="s">
        <v>354</v>
      </c>
      <c r="C311" s="56" t="s">
        <v>273</v>
      </c>
      <c r="D311" s="56" t="s">
        <v>353</v>
      </c>
      <c r="E311" s="56" t="s">
        <v>357</v>
      </c>
      <c r="F311" s="63">
        <v>6</v>
      </c>
      <c r="G311" s="58">
        <f>15</f>
        <v>15</v>
      </c>
      <c r="H311" s="59">
        <f t="shared" si="13"/>
        <v>90</v>
      </c>
      <c r="I311" s="60">
        <v>0.6</v>
      </c>
      <c r="J311" s="60">
        <f t="shared" si="14"/>
        <v>9</v>
      </c>
      <c r="K311" s="62" t="s">
        <v>132</v>
      </c>
      <c r="U311" s="4"/>
    </row>
    <row r="312" spans="1:21" s="3" customFormat="1" ht="38.25">
      <c r="A312" s="55">
        <v>1765</v>
      </c>
      <c r="B312" s="58" t="s">
        <v>354</v>
      </c>
      <c r="C312" s="56" t="s">
        <v>273</v>
      </c>
      <c r="D312" s="56" t="s">
        <v>353</v>
      </c>
      <c r="E312" s="56" t="s">
        <v>358</v>
      </c>
      <c r="F312" s="63">
        <v>6</v>
      </c>
      <c r="G312" s="58">
        <f>3</f>
        <v>3</v>
      </c>
      <c r="H312" s="59">
        <f t="shared" si="13"/>
        <v>18</v>
      </c>
      <c r="I312" s="60">
        <v>0.6</v>
      </c>
      <c r="J312" s="60">
        <f t="shared" si="14"/>
        <v>1.7999999999999998</v>
      </c>
      <c r="K312" s="62" t="s">
        <v>132</v>
      </c>
      <c r="U312" s="4"/>
    </row>
    <row r="313" spans="1:21" s="3" customFormat="1" ht="12.75">
      <c r="A313" s="55">
        <v>1833</v>
      </c>
      <c r="B313" s="58" t="s">
        <v>359</v>
      </c>
      <c r="C313" s="56" t="s">
        <v>227</v>
      </c>
      <c r="D313" s="56" t="s">
        <v>232</v>
      </c>
      <c r="E313" s="56" t="s">
        <v>360</v>
      </c>
      <c r="F313" s="63">
        <v>1.72</v>
      </c>
      <c r="G313" s="58">
        <v>312</v>
      </c>
      <c r="H313" s="59">
        <f t="shared" si="13"/>
        <v>536.64</v>
      </c>
      <c r="I313" s="60">
        <v>0.16799999999999998</v>
      </c>
      <c r="J313" s="60">
        <f t="shared" si="14"/>
        <v>52.416</v>
      </c>
      <c r="K313" s="62" t="s">
        <v>132</v>
      </c>
      <c r="U313" s="4"/>
    </row>
    <row r="314" spans="1:21" s="3" customFormat="1" ht="12.75">
      <c r="A314" s="55">
        <v>1835</v>
      </c>
      <c r="B314" s="58" t="s">
        <v>361</v>
      </c>
      <c r="C314" s="56" t="s">
        <v>227</v>
      </c>
      <c r="D314" s="56" t="s">
        <v>232</v>
      </c>
      <c r="E314" s="56" t="s">
        <v>360</v>
      </c>
      <c r="F314" s="63">
        <v>1.72</v>
      </c>
      <c r="G314" s="58">
        <f>125</f>
        <v>125</v>
      </c>
      <c r="H314" s="59">
        <f t="shared" si="13"/>
        <v>215</v>
      </c>
      <c r="I314" s="60">
        <v>0.16799999999999998</v>
      </c>
      <c r="J314" s="60">
        <f t="shared" si="14"/>
        <v>20.999999999999996</v>
      </c>
      <c r="K314" s="62" t="s">
        <v>132</v>
      </c>
      <c r="U314" s="4"/>
    </row>
    <row r="315" spans="1:21" s="3" customFormat="1" ht="25.5">
      <c r="A315" s="55">
        <v>1837</v>
      </c>
      <c r="B315" s="58" t="s">
        <v>362</v>
      </c>
      <c r="C315" s="56" t="s">
        <v>227</v>
      </c>
      <c r="D315" s="56" t="s">
        <v>285</v>
      </c>
      <c r="E315" s="56" t="s">
        <v>302</v>
      </c>
      <c r="F315" s="63">
        <v>6</v>
      </c>
      <c r="G315" s="58">
        <f>4</f>
        <v>4</v>
      </c>
      <c r="H315" s="59">
        <f t="shared" si="13"/>
        <v>24</v>
      </c>
      <c r="I315" s="60">
        <v>0.5880000000000001</v>
      </c>
      <c r="J315" s="60">
        <f t="shared" si="14"/>
        <v>2.3520000000000003</v>
      </c>
      <c r="K315" s="62" t="s">
        <v>132</v>
      </c>
      <c r="U315" s="4"/>
    </row>
    <row r="316" spans="1:21" s="3" customFormat="1" ht="25.5">
      <c r="A316" s="55">
        <v>1838</v>
      </c>
      <c r="B316" s="58" t="s">
        <v>363</v>
      </c>
      <c r="C316" s="56" t="s">
        <v>227</v>
      </c>
      <c r="D316" s="56" t="s">
        <v>285</v>
      </c>
      <c r="E316" s="56" t="s">
        <v>302</v>
      </c>
      <c r="F316" s="63">
        <v>6</v>
      </c>
      <c r="G316" s="58">
        <f>5</f>
        <v>5</v>
      </c>
      <c r="H316" s="59">
        <f t="shared" si="13"/>
        <v>30</v>
      </c>
      <c r="I316" s="60">
        <v>0.5880000000000001</v>
      </c>
      <c r="J316" s="60">
        <f t="shared" si="14"/>
        <v>2.9400000000000004</v>
      </c>
      <c r="K316" s="62" t="s">
        <v>132</v>
      </c>
      <c r="U316" s="4"/>
    </row>
    <row r="317" spans="1:21" s="3" customFormat="1" ht="25.5">
      <c r="A317" s="55">
        <v>1839</v>
      </c>
      <c r="B317" s="58" t="s">
        <v>364</v>
      </c>
      <c r="C317" s="56" t="s">
        <v>227</v>
      </c>
      <c r="D317" s="56" t="s">
        <v>285</v>
      </c>
      <c r="E317" s="56" t="s">
        <v>302</v>
      </c>
      <c r="F317" s="63">
        <v>6</v>
      </c>
      <c r="G317" s="58">
        <f>7</f>
        <v>7</v>
      </c>
      <c r="H317" s="59">
        <f t="shared" si="13"/>
        <v>42</v>
      </c>
      <c r="I317" s="60">
        <v>0.5880000000000001</v>
      </c>
      <c r="J317" s="60">
        <f t="shared" si="14"/>
        <v>4.1160000000000005</v>
      </c>
      <c r="K317" s="62" t="s">
        <v>132</v>
      </c>
      <c r="U317" s="4"/>
    </row>
    <row r="318" spans="1:21" s="3" customFormat="1" ht="25.5">
      <c r="A318" s="55">
        <v>1840</v>
      </c>
      <c r="B318" s="58" t="s">
        <v>365</v>
      </c>
      <c r="C318" s="56" t="s">
        <v>227</v>
      </c>
      <c r="D318" s="56" t="s">
        <v>285</v>
      </c>
      <c r="E318" s="56" t="s">
        <v>302</v>
      </c>
      <c r="F318" s="63">
        <v>6</v>
      </c>
      <c r="G318" s="58">
        <f>3</f>
        <v>3</v>
      </c>
      <c r="H318" s="59">
        <f t="shared" si="13"/>
        <v>18</v>
      </c>
      <c r="I318" s="60">
        <v>0.5880000000000001</v>
      </c>
      <c r="J318" s="60">
        <f t="shared" si="14"/>
        <v>1.7640000000000002</v>
      </c>
      <c r="K318" s="62" t="s">
        <v>132</v>
      </c>
      <c r="U318" s="4"/>
    </row>
    <row r="319" spans="1:21" s="3" customFormat="1" ht="25.5">
      <c r="A319" s="55">
        <v>1841</v>
      </c>
      <c r="B319" s="58" t="s">
        <v>366</v>
      </c>
      <c r="C319" s="56" t="s">
        <v>227</v>
      </c>
      <c r="D319" s="56" t="s">
        <v>285</v>
      </c>
      <c r="E319" s="56" t="s">
        <v>302</v>
      </c>
      <c r="F319" s="63">
        <v>6</v>
      </c>
      <c r="G319" s="58">
        <f>6</f>
        <v>6</v>
      </c>
      <c r="H319" s="59">
        <f t="shared" si="13"/>
        <v>36</v>
      </c>
      <c r="I319" s="60">
        <v>0.5880000000000001</v>
      </c>
      <c r="J319" s="60">
        <f t="shared" si="14"/>
        <v>3.5280000000000005</v>
      </c>
      <c r="K319" s="62" t="s">
        <v>132</v>
      </c>
      <c r="U319" s="4"/>
    </row>
    <row r="320" spans="1:21" s="3" customFormat="1" ht="25.5">
      <c r="A320" s="55">
        <v>1842</v>
      </c>
      <c r="B320" s="58" t="s">
        <v>367</v>
      </c>
      <c r="C320" s="56" t="s">
        <v>227</v>
      </c>
      <c r="D320" s="56" t="s">
        <v>285</v>
      </c>
      <c r="E320" s="56" t="s">
        <v>302</v>
      </c>
      <c r="F320" s="63">
        <v>6</v>
      </c>
      <c r="G320" s="58">
        <v>3</v>
      </c>
      <c r="H320" s="59">
        <f t="shared" si="13"/>
        <v>18</v>
      </c>
      <c r="I320" s="60">
        <v>0.5880000000000001</v>
      </c>
      <c r="J320" s="60">
        <f t="shared" si="14"/>
        <v>1.7640000000000002</v>
      </c>
      <c r="K320" s="62" t="s">
        <v>132</v>
      </c>
      <c r="U320" s="4"/>
    </row>
    <row r="321" spans="1:21" s="3" customFormat="1" ht="12.75">
      <c r="A321" s="55">
        <v>1868</v>
      </c>
      <c r="B321" s="65" t="s">
        <v>368</v>
      </c>
      <c r="C321" s="56" t="s">
        <v>227</v>
      </c>
      <c r="D321" s="56"/>
      <c r="E321" s="56"/>
      <c r="F321" s="63">
        <v>14.7</v>
      </c>
      <c r="G321" s="58">
        <v>2</v>
      </c>
      <c r="H321" s="59">
        <f t="shared" si="13"/>
        <v>29.4</v>
      </c>
      <c r="I321" s="60">
        <v>0.732</v>
      </c>
      <c r="J321" s="60">
        <f t="shared" si="14"/>
        <v>1.464</v>
      </c>
      <c r="K321" s="62"/>
      <c r="U321" s="4"/>
    </row>
    <row r="322" spans="1:21" s="3" customFormat="1" ht="25.5">
      <c r="A322" s="55">
        <v>1878</v>
      </c>
      <c r="B322" s="58" t="s">
        <v>369</v>
      </c>
      <c r="C322" s="56" t="s">
        <v>227</v>
      </c>
      <c r="D322" s="56" t="s">
        <v>285</v>
      </c>
      <c r="E322" s="56" t="s">
        <v>302</v>
      </c>
      <c r="F322" s="63">
        <v>18</v>
      </c>
      <c r="G322" s="58">
        <f>1</f>
        <v>1</v>
      </c>
      <c r="H322" s="59">
        <f t="shared" si="13"/>
        <v>18</v>
      </c>
      <c r="I322" s="60">
        <v>0.8960000000000001</v>
      </c>
      <c r="J322" s="60">
        <f t="shared" si="14"/>
        <v>0.8960000000000001</v>
      </c>
      <c r="K322" s="62" t="s">
        <v>132</v>
      </c>
      <c r="U322" s="4"/>
    </row>
    <row r="323" spans="1:21" s="3" customFormat="1" ht="25.5">
      <c r="A323" s="55">
        <v>1879</v>
      </c>
      <c r="B323" s="58" t="s">
        <v>370</v>
      </c>
      <c r="C323" s="56" t="s">
        <v>227</v>
      </c>
      <c r="D323" s="56" t="s">
        <v>285</v>
      </c>
      <c r="E323" s="56" t="s">
        <v>302</v>
      </c>
      <c r="F323" s="57">
        <v>18</v>
      </c>
      <c r="G323" s="58">
        <v>2</v>
      </c>
      <c r="H323" s="59">
        <f t="shared" si="13"/>
        <v>36</v>
      </c>
      <c r="I323" s="60">
        <v>0.8960000000000001</v>
      </c>
      <c r="J323" s="60">
        <f t="shared" si="14"/>
        <v>1.7920000000000003</v>
      </c>
      <c r="K323" s="62" t="s">
        <v>132</v>
      </c>
      <c r="U323" s="4"/>
    </row>
    <row r="324" spans="1:21" s="3" customFormat="1" ht="25.5">
      <c r="A324" s="55">
        <v>1909</v>
      </c>
      <c r="B324" s="58" t="s">
        <v>371</v>
      </c>
      <c r="C324" s="66" t="s">
        <v>227</v>
      </c>
      <c r="D324" s="56" t="s">
        <v>285</v>
      </c>
      <c r="E324" s="66" t="s">
        <v>372</v>
      </c>
      <c r="F324" s="63">
        <v>3.8</v>
      </c>
      <c r="G324" s="58">
        <v>145</v>
      </c>
      <c r="H324" s="59">
        <f t="shared" si="13"/>
        <v>551</v>
      </c>
      <c r="I324" s="60">
        <v>0.38</v>
      </c>
      <c r="J324" s="60">
        <f t="shared" si="14"/>
        <v>55.1</v>
      </c>
      <c r="K324" s="62" t="s">
        <v>132</v>
      </c>
      <c r="U324" s="4"/>
    </row>
    <row r="325" spans="1:21" s="3" customFormat="1" ht="25.5">
      <c r="A325" s="55">
        <v>1910</v>
      </c>
      <c r="B325" s="58" t="s">
        <v>373</v>
      </c>
      <c r="C325" s="66" t="s">
        <v>227</v>
      </c>
      <c r="D325" s="56" t="s">
        <v>285</v>
      </c>
      <c r="E325" s="66" t="s">
        <v>372</v>
      </c>
      <c r="F325" s="63">
        <v>3.8</v>
      </c>
      <c r="G325" s="58">
        <v>131</v>
      </c>
      <c r="H325" s="59">
        <f t="shared" si="13"/>
        <v>497.79999999999995</v>
      </c>
      <c r="I325" s="60">
        <v>0.38</v>
      </c>
      <c r="J325" s="60">
        <f t="shared" si="14"/>
        <v>49.78</v>
      </c>
      <c r="K325" s="62" t="s">
        <v>132</v>
      </c>
      <c r="U325" s="4"/>
    </row>
    <row r="326" spans="1:21" s="3" customFormat="1" ht="25.5">
      <c r="A326" s="55">
        <v>1918</v>
      </c>
      <c r="B326" s="58" t="s">
        <v>374</v>
      </c>
      <c r="C326" s="66" t="s">
        <v>227</v>
      </c>
      <c r="D326" s="56" t="s">
        <v>285</v>
      </c>
      <c r="E326" s="66" t="s">
        <v>372</v>
      </c>
      <c r="F326" s="63">
        <v>3.8</v>
      </c>
      <c r="G326" s="58">
        <f>100+50</f>
        <v>150</v>
      </c>
      <c r="H326" s="59">
        <f t="shared" si="13"/>
        <v>570</v>
      </c>
      <c r="I326" s="60">
        <v>0.38</v>
      </c>
      <c r="J326" s="60">
        <f t="shared" si="14"/>
        <v>57</v>
      </c>
      <c r="K326" s="62"/>
      <c r="U326" s="4"/>
    </row>
    <row r="327" spans="1:21" s="3" customFormat="1" ht="25.5">
      <c r="A327" s="55">
        <v>1919</v>
      </c>
      <c r="B327" s="58" t="s">
        <v>375</v>
      </c>
      <c r="C327" s="66" t="s">
        <v>227</v>
      </c>
      <c r="D327" s="56" t="s">
        <v>285</v>
      </c>
      <c r="E327" s="66" t="s">
        <v>372</v>
      </c>
      <c r="F327" s="63">
        <v>3.8</v>
      </c>
      <c r="G327" s="58">
        <v>144</v>
      </c>
      <c r="H327" s="59">
        <f t="shared" si="13"/>
        <v>547.1999999999999</v>
      </c>
      <c r="I327" s="60">
        <v>0.38</v>
      </c>
      <c r="J327" s="60">
        <f t="shared" si="14"/>
        <v>54.72</v>
      </c>
      <c r="K327" s="62" t="s">
        <v>132</v>
      </c>
      <c r="U327" s="4"/>
    </row>
    <row r="328" spans="1:21" s="3" customFormat="1" ht="25.5">
      <c r="A328" s="55">
        <v>1920</v>
      </c>
      <c r="B328" s="58" t="s">
        <v>376</v>
      </c>
      <c r="C328" s="66" t="s">
        <v>227</v>
      </c>
      <c r="D328" s="56" t="s">
        <v>285</v>
      </c>
      <c r="E328" s="66" t="s">
        <v>372</v>
      </c>
      <c r="F328" s="63">
        <v>3.8</v>
      </c>
      <c r="G328" s="58">
        <v>121</v>
      </c>
      <c r="H328" s="59">
        <f t="shared" si="13"/>
        <v>459.79999999999995</v>
      </c>
      <c r="I328" s="60">
        <v>0.38</v>
      </c>
      <c r="J328" s="60">
        <f t="shared" si="14"/>
        <v>45.980000000000004</v>
      </c>
      <c r="K328" s="62" t="s">
        <v>132</v>
      </c>
      <c r="U328" s="4"/>
    </row>
    <row r="329" spans="1:21" s="3" customFormat="1" ht="25.5">
      <c r="A329" s="55">
        <v>1921</v>
      </c>
      <c r="B329" s="58" t="s">
        <v>377</v>
      </c>
      <c r="C329" s="66" t="s">
        <v>227</v>
      </c>
      <c r="D329" s="56" t="s">
        <v>285</v>
      </c>
      <c r="E329" s="66" t="s">
        <v>372</v>
      </c>
      <c r="F329" s="63">
        <v>3.8</v>
      </c>
      <c r="G329" s="58">
        <f>148-48</f>
        <v>100</v>
      </c>
      <c r="H329" s="59">
        <f t="shared" si="13"/>
        <v>380</v>
      </c>
      <c r="I329" s="60">
        <v>0.38</v>
      </c>
      <c r="J329" s="60">
        <f t="shared" si="14"/>
        <v>38</v>
      </c>
      <c r="K329" s="62" t="s">
        <v>132</v>
      </c>
      <c r="U329" s="4"/>
    </row>
    <row r="330" spans="1:21" s="3" customFormat="1" ht="25.5">
      <c r="A330" s="55">
        <v>1922</v>
      </c>
      <c r="B330" s="58" t="s">
        <v>378</v>
      </c>
      <c r="C330" s="66" t="s">
        <v>227</v>
      </c>
      <c r="D330" s="56" t="s">
        <v>285</v>
      </c>
      <c r="E330" s="66" t="s">
        <v>372</v>
      </c>
      <c r="F330" s="63">
        <v>3.8</v>
      </c>
      <c r="G330" s="58">
        <f>127-79</f>
        <v>48</v>
      </c>
      <c r="H330" s="59">
        <f t="shared" si="13"/>
        <v>182.39999999999998</v>
      </c>
      <c r="I330" s="60">
        <v>0.38</v>
      </c>
      <c r="J330" s="60">
        <f t="shared" si="14"/>
        <v>18.240000000000002</v>
      </c>
      <c r="K330" s="62" t="s">
        <v>132</v>
      </c>
      <c r="U330" s="4"/>
    </row>
    <row r="331" spans="1:21" s="3" customFormat="1" ht="25.5">
      <c r="A331" s="55">
        <v>1923</v>
      </c>
      <c r="B331" s="58" t="s">
        <v>379</v>
      </c>
      <c r="C331" s="66" t="s">
        <v>227</v>
      </c>
      <c r="D331" s="56" t="s">
        <v>285</v>
      </c>
      <c r="E331" s="66" t="s">
        <v>372</v>
      </c>
      <c r="F331" s="63">
        <v>3.8</v>
      </c>
      <c r="G331" s="58">
        <f>144-50</f>
        <v>94</v>
      </c>
      <c r="H331" s="59">
        <f t="shared" si="13"/>
        <v>357.2</v>
      </c>
      <c r="I331" s="60">
        <v>0.38</v>
      </c>
      <c r="J331" s="60">
        <f t="shared" si="14"/>
        <v>35.72</v>
      </c>
      <c r="K331" s="62" t="s">
        <v>132</v>
      </c>
      <c r="U331" s="4"/>
    </row>
    <row r="332" spans="1:21" s="3" customFormat="1" ht="25.5">
      <c r="A332" s="55">
        <v>1924</v>
      </c>
      <c r="B332" s="58" t="s">
        <v>380</v>
      </c>
      <c r="C332" s="66" t="s">
        <v>227</v>
      </c>
      <c r="D332" s="56" t="s">
        <v>285</v>
      </c>
      <c r="E332" s="66" t="s">
        <v>372</v>
      </c>
      <c r="F332" s="63">
        <v>3.8</v>
      </c>
      <c r="G332" s="58">
        <v>144</v>
      </c>
      <c r="H332" s="59">
        <f t="shared" si="13"/>
        <v>547.1999999999999</v>
      </c>
      <c r="I332" s="60">
        <v>0.38</v>
      </c>
      <c r="J332" s="60">
        <f t="shared" si="14"/>
        <v>54.72</v>
      </c>
      <c r="K332" s="62" t="s">
        <v>132</v>
      </c>
      <c r="U332" s="4"/>
    </row>
    <row r="333" spans="1:21" s="3" customFormat="1" ht="25.5">
      <c r="A333" s="55">
        <v>1925</v>
      </c>
      <c r="B333" s="58" t="s">
        <v>381</v>
      </c>
      <c r="C333" s="66" t="s">
        <v>227</v>
      </c>
      <c r="D333" s="56" t="s">
        <v>285</v>
      </c>
      <c r="E333" s="66" t="s">
        <v>372</v>
      </c>
      <c r="F333" s="63">
        <v>3.8</v>
      </c>
      <c r="G333" s="58">
        <v>115</v>
      </c>
      <c r="H333" s="59">
        <f t="shared" si="13"/>
        <v>437</v>
      </c>
      <c r="I333" s="60">
        <v>0.38</v>
      </c>
      <c r="J333" s="60">
        <f t="shared" si="14"/>
        <v>43.7</v>
      </c>
      <c r="K333" s="62" t="s">
        <v>132</v>
      </c>
      <c r="U333" s="4"/>
    </row>
    <row r="334" spans="1:21" s="3" customFormat="1" ht="25.5">
      <c r="A334" s="55">
        <v>1926</v>
      </c>
      <c r="B334" s="58" t="s">
        <v>382</v>
      </c>
      <c r="C334" s="66" t="s">
        <v>227</v>
      </c>
      <c r="D334" s="56" t="s">
        <v>285</v>
      </c>
      <c r="E334" s="66" t="s">
        <v>372</v>
      </c>
      <c r="F334" s="63">
        <v>3.8</v>
      </c>
      <c r="G334" s="58">
        <v>143</v>
      </c>
      <c r="H334" s="59">
        <f t="shared" si="13"/>
        <v>543.4</v>
      </c>
      <c r="I334" s="60">
        <v>0.38</v>
      </c>
      <c r="J334" s="60">
        <f t="shared" si="14"/>
        <v>54.34</v>
      </c>
      <c r="K334" s="62" t="s">
        <v>132</v>
      </c>
      <c r="U334" s="4"/>
    </row>
    <row r="335" spans="1:21" s="3" customFormat="1" ht="25.5">
      <c r="A335" s="55">
        <v>1927</v>
      </c>
      <c r="B335" s="58" t="s">
        <v>383</v>
      </c>
      <c r="C335" s="66" t="s">
        <v>227</v>
      </c>
      <c r="D335" s="56" t="s">
        <v>285</v>
      </c>
      <c r="E335" s="66" t="s">
        <v>372</v>
      </c>
      <c r="F335" s="63">
        <v>3.8</v>
      </c>
      <c r="G335" s="58">
        <v>144</v>
      </c>
      <c r="H335" s="59">
        <f t="shared" si="13"/>
        <v>547.1999999999999</v>
      </c>
      <c r="I335" s="60">
        <v>0.38</v>
      </c>
      <c r="J335" s="60">
        <f t="shared" si="14"/>
        <v>54.72</v>
      </c>
      <c r="K335" s="62" t="s">
        <v>132</v>
      </c>
      <c r="U335" s="4"/>
    </row>
    <row r="336" spans="1:21" s="3" customFormat="1" ht="25.5">
      <c r="A336" s="55">
        <v>1928</v>
      </c>
      <c r="B336" s="58" t="s">
        <v>384</v>
      </c>
      <c r="C336" s="66" t="s">
        <v>227</v>
      </c>
      <c r="D336" s="56" t="s">
        <v>285</v>
      </c>
      <c r="E336" s="66" t="s">
        <v>372</v>
      </c>
      <c r="F336" s="63">
        <v>3.8</v>
      </c>
      <c r="G336" s="58">
        <v>145</v>
      </c>
      <c r="H336" s="59">
        <f t="shared" si="13"/>
        <v>551</v>
      </c>
      <c r="I336" s="60">
        <v>0.38</v>
      </c>
      <c r="J336" s="60">
        <f t="shared" si="14"/>
        <v>55.1</v>
      </c>
      <c r="K336" s="62" t="s">
        <v>132</v>
      </c>
      <c r="U336" s="4"/>
    </row>
    <row r="337" spans="1:21" s="3" customFormat="1" ht="18.75" customHeight="1">
      <c r="A337" s="55">
        <v>1938</v>
      </c>
      <c r="B337" s="58" t="s">
        <v>385</v>
      </c>
      <c r="C337" s="56" t="s">
        <v>273</v>
      </c>
      <c r="D337" s="56" t="s">
        <v>386</v>
      </c>
      <c r="E337" s="56" t="s">
        <v>387</v>
      </c>
      <c r="F337" s="63">
        <v>11.96</v>
      </c>
      <c r="G337" s="58">
        <f>7-2</f>
        <v>5</v>
      </c>
      <c r="H337" s="59">
        <f t="shared" si="13"/>
        <v>59.800000000000004</v>
      </c>
      <c r="I337" s="60">
        <v>0.868</v>
      </c>
      <c r="J337" s="60">
        <f t="shared" si="14"/>
        <v>4.34</v>
      </c>
      <c r="K337" s="62" t="s">
        <v>132</v>
      </c>
      <c r="U337" s="4"/>
    </row>
    <row r="338" spans="1:21" s="3" customFormat="1" ht="25.5">
      <c r="A338" s="55">
        <v>1954</v>
      </c>
      <c r="B338" s="58" t="s">
        <v>388</v>
      </c>
      <c r="C338" s="56" t="s">
        <v>227</v>
      </c>
      <c r="D338" s="56" t="s">
        <v>285</v>
      </c>
      <c r="E338" s="56" t="s">
        <v>389</v>
      </c>
      <c r="F338" s="57">
        <v>1.22</v>
      </c>
      <c r="G338" s="58">
        <f>500+500+500+500+499+250</f>
        <v>2749</v>
      </c>
      <c r="H338" s="59">
        <f t="shared" si="13"/>
        <v>3353.7799999999997</v>
      </c>
      <c r="I338" s="60">
        <v>0.1232</v>
      </c>
      <c r="J338" s="60">
        <f t="shared" si="14"/>
        <v>338.6768</v>
      </c>
      <c r="K338" s="62" t="s">
        <v>132</v>
      </c>
      <c r="U338" s="4"/>
    </row>
    <row r="339" spans="1:21" s="3" customFormat="1" ht="12.75">
      <c r="A339" s="55">
        <v>2001</v>
      </c>
      <c r="B339" s="58" t="s">
        <v>390</v>
      </c>
      <c r="C339" s="56" t="s">
        <v>227</v>
      </c>
      <c r="D339" s="56" t="s">
        <v>232</v>
      </c>
      <c r="E339" s="56" t="s">
        <v>360</v>
      </c>
      <c r="F339" s="63">
        <v>1.72</v>
      </c>
      <c r="G339" s="58">
        <f>205</f>
        <v>205</v>
      </c>
      <c r="H339" s="59">
        <f t="shared" si="13"/>
        <v>352.6</v>
      </c>
      <c r="I339" s="60">
        <v>0.16799999999999998</v>
      </c>
      <c r="J339" s="60">
        <f t="shared" si="14"/>
        <v>34.44</v>
      </c>
      <c r="K339" s="62" t="s">
        <v>132</v>
      </c>
      <c r="U339" s="4"/>
    </row>
    <row r="340" spans="1:21" s="3" customFormat="1" ht="12.75">
      <c r="A340" s="55">
        <v>2002</v>
      </c>
      <c r="B340" s="58" t="s">
        <v>391</v>
      </c>
      <c r="C340" s="56" t="s">
        <v>227</v>
      </c>
      <c r="D340" s="56" t="s">
        <v>232</v>
      </c>
      <c r="E340" s="56" t="s">
        <v>360</v>
      </c>
      <c r="F340" s="63">
        <v>1.72</v>
      </c>
      <c r="G340" s="58">
        <f>625+295</f>
        <v>920</v>
      </c>
      <c r="H340" s="59">
        <f t="shared" si="13"/>
        <v>1582.3999999999999</v>
      </c>
      <c r="I340" s="60">
        <v>0.16799999999999998</v>
      </c>
      <c r="J340" s="60">
        <f t="shared" si="14"/>
        <v>154.55999999999997</v>
      </c>
      <c r="K340" s="62" t="s">
        <v>132</v>
      </c>
      <c r="U340" s="4"/>
    </row>
    <row r="341" spans="1:21" s="3" customFormat="1" ht="12.75">
      <c r="A341" s="55">
        <v>2003</v>
      </c>
      <c r="B341" s="58" t="s">
        <v>392</v>
      </c>
      <c r="C341" s="56" t="s">
        <v>227</v>
      </c>
      <c r="D341" s="56" t="s">
        <v>232</v>
      </c>
      <c r="E341" s="56" t="s">
        <v>360</v>
      </c>
      <c r="F341" s="63">
        <v>1.72</v>
      </c>
      <c r="G341" s="58">
        <f>187</f>
        <v>187</v>
      </c>
      <c r="H341" s="59">
        <f t="shared" si="13"/>
        <v>321.64</v>
      </c>
      <c r="I341" s="60">
        <v>0.16799999999999998</v>
      </c>
      <c r="J341" s="60">
        <f t="shared" si="14"/>
        <v>31.415999999999997</v>
      </c>
      <c r="K341" s="62" t="s">
        <v>132</v>
      </c>
      <c r="U341" s="4"/>
    </row>
    <row r="342" spans="1:21" s="3" customFormat="1" ht="12.75">
      <c r="A342" s="55">
        <v>2004</v>
      </c>
      <c r="B342" s="58" t="s">
        <v>393</v>
      </c>
      <c r="C342" s="56" t="s">
        <v>227</v>
      </c>
      <c r="D342" s="56" t="s">
        <v>232</v>
      </c>
      <c r="E342" s="56" t="s">
        <v>360</v>
      </c>
      <c r="F342" s="63">
        <v>1.72</v>
      </c>
      <c r="G342" s="58">
        <v>424</v>
      </c>
      <c r="H342" s="59">
        <f t="shared" si="13"/>
        <v>729.28</v>
      </c>
      <c r="I342" s="60">
        <v>0.16799999999999998</v>
      </c>
      <c r="J342" s="60">
        <f t="shared" si="14"/>
        <v>71.232</v>
      </c>
      <c r="K342" s="62" t="s">
        <v>132</v>
      </c>
      <c r="U342" s="4"/>
    </row>
    <row r="343" spans="1:21" s="3" customFormat="1" ht="12.75">
      <c r="A343" s="55">
        <v>2005</v>
      </c>
      <c r="B343" s="58" t="s">
        <v>394</v>
      </c>
      <c r="C343" s="56" t="s">
        <v>227</v>
      </c>
      <c r="D343" s="56" t="s">
        <v>232</v>
      </c>
      <c r="E343" s="56" t="s">
        <v>360</v>
      </c>
      <c r="F343" s="63">
        <v>1.72</v>
      </c>
      <c r="G343" s="58">
        <f>305-10</f>
        <v>295</v>
      </c>
      <c r="H343" s="59">
        <f t="shared" si="13"/>
        <v>507.4</v>
      </c>
      <c r="I343" s="60">
        <v>0.16799999999999998</v>
      </c>
      <c r="J343" s="60">
        <f t="shared" si="14"/>
        <v>49.559999999999995</v>
      </c>
      <c r="K343" s="62" t="s">
        <v>132</v>
      </c>
      <c r="U343" s="4"/>
    </row>
    <row r="344" spans="1:21" s="3" customFormat="1" ht="12.75">
      <c r="A344" s="55">
        <v>2006</v>
      </c>
      <c r="B344" s="58" t="s">
        <v>395</v>
      </c>
      <c r="C344" s="56" t="s">
        <v>227</v>
      </c>
      <c r="D344" s="56" t="s">
        <v>232</v>
      </c>
      <c r="E344" s="56" t="s">
        <v>360</v>
      </c>
      <c r="F344" s="63">
        <v>1.72</v>
      </c>
      <c r="G344" s="58">
        <f>298</f>
        <v>298</v>
      </c>
      <c r="H344" s="59">
        <f t="shared" si="13"/>
        <v>512.56</v>
      </c>
      <c r="I344" s="60">
        <v>0.16799999999999998</v>
      </c>
      <c r="J344" s="60">
        <f t="shared" si="14"/>
        <v>50.06399999999999</v>
      </c>
      <c r="K344" s="62" t="s">
        <v>132</v>
      </c>
      <c r="U344" s="4"/>
    </row>
    <row r="345" spans="1:21" s="3" customFormat="1" ht="12.75">
      <c r="A345" s="55">
        <v>2007</v>
      </c>
      <c r="B345" s="58" t="s">
        <v>396</v>
      </c>
      <c r="C345" s="56" t="s">
        <v>227</v>
      </c>
      <c r="D345" s="56" t="s">
        <v>232</v>
      </c>
      <c r="E345" s="56" t="s">
        <v>360</v>
      </c>
      <c r="F345" s="63">
        <v>1.72</v>
      </c>
      <c r="G345" s="58">
        <f>624</f>
        <v>624</v>
      </c>
      <c r="H345" s="59">
        <f t="shared" si="13"/>
        <v>1073.28</v>
      </c>
      <c r="I345" s="60">
        <v>0.16799999999999998</v>
      </c>
      <c r="J345" s="60">
        <f t="shared" si="14"/>
        <v>104.832</v>
      </c>
      <c r="K345" s="62" t="s">
        <v>132</v>
      </c>
      <c r="U345" s="4"/>
    </row>
    <row r="346" spans="1:21" s="3" customFormat="1" ht="25.5">
      <c r="A346" s="55">
        <v>2020</v>
      </c>
      <c r="B346" s="58" t="s">
        <v>397</v>
      </c>
      <c r="C346" s="56" t="s">
        <v>273</v>
      </c>
      <c r="D346" s="56" t="s">
        <v>398</v>
      </c>
      <c r="E346" s="56" t="s">
        <v>275</v>
      </c>
      <c r="F346" s="63">
        <v>6.88</v>
      </c>
      <c r="G346" s="58">
        <f>9</f>
        <v>9</v>
      </c>
      <c r="H346" s="59">
        <f t="shared" si="13"/>
        <v>61.92</v>
      </c>
      <c r="I346" s="60">
        <v>0.616</v>
      </c>
      <c r="J346" s="60">
        <f t="shared" si="14"/>
        <v>5.544</v>
      </c>
      <c r="K346" s="62" t="s">
        <v>132</v>
      </c>
      <c r="U346" s="4"/>
    </row>
    <row r="347" spans="1:21" s="3" customFormat="1" ht="25.5">
      <c r="A347" s="55">
        <v>2021</v>
      </c>
      <c r="B347" s="58" t="s">
        <v>399</v>
      </c>
      <c r="C347" s="56" t="s">
        <v>273</v>
      </c>
      <c r="D347" s="56" t="s">
        <v>398</v>
      </c>
      <c r="E347" s="56" t="s">
        <v>275</v>
      </c>
      <c r="F347" s="63">
        <v>6.88</v>
      </c>
      <c r="G347" s="58">
        <f>20</f>
        <v>20</v>
      </c>
      <c r="H347" s="59">
        <f t="shared" si="13"/>
        <v>137.6</v>
      </c>
      <c r="I347" s="60">
        <v>0.616</v>
      </c>
      <c r="J347" s="60">
        <f t="shared" si="14"/>
        <v>12.32</v>
      </c>
      <c r="K347" s="62" t="s">
        <v>132</v>
      </c>
      <c r="U347" s="4"/>
    </row>
    <row r="348" spans="1:21" s="3" customFormat="1" ht="25.5">
      <c r="A348" s="55">
        <v>2022</v>
      </c>
      <c r="B348" s="58" t="s">
        <v>400</v>
      </c>
      <c r="C348" s="56" t="s">
        <v>273</v>
      </c>
      <c r="D348" s="56" t="s">
        <v>398</v>
      </c>
      <c r="E348" s="56" t="s">
        <v>275</v>
      </c>
      <c r="F348" s="63">
        <v>6.88</v>
      </c>
      <c r="G348" s="58">
        <f>22-2</f>
        <v>20</v>
      </c>
      <c r="H348" s="59">
        <f t="shared" si="13"/>
        <v>137.6</v>
      </c>
      <c r="I348" s="60">
        <v>0.616</v>
      </c>
      <c r="J348" s="60">
        <f t="shared" si="14"/>
        <v>12.32</v>
      </c>
      <c r="K348" s="62" t="s">
        <v>132</v>
      </c>
      <c r="U348" s="4"/>
    </row>
    <row r="349" spans="1:21" s="3" customFormat="1" ht="25.5">
      <c r="A349" s="55">
        <v>2023</v>
      </c>
      <c r="B349" s="58" t="s">
        <v>401</v>
      </c>
      <c r="C349" s="56" t="s">
        <v>273</v>
      </c>
      <c r="D349" s="56" t="s">
        <v>398</v>
      </c>
      <c r="E349" s="56" t="s">
        <v>275</v>
      </c>
      <c r="F349" s="63">
        <v>2.29</v>
      </c>
      <c r="G349" s="58">
        <f>14</f>
        <v>14</v>
      </c>
      <c r="H349" s="59">
        <f t="shared" si="13"/>
        <v>32.06</v>
      </c>
      <c r="I349" s="60">
        <v>0.229</v>
      </c>
      <c r="J349" s="60">
        <f t="shared" si="14"/>
        <v>3.206</v>
      </c>
      <c r="K349" s="62" t="s">
        <v>132</v>
      </c>
      <c r="U349" s="4"/>
    </row>
    <row r="350" spans="1:21" s="3" customFormat="1" ht="25.5">
      <c r="A350" s="55">
        <v>2024</v>
      </c>
      <c r="B350" s="58" t="s">
        <v>402</v>
      </c>
      <c r="C350" s="56" t="s">
        <v>273</v>
      </c>
      <c r="D350" s="56" t="s">
        <v>398</v>
      </c>
      <c r="E350" s="56" t="s">
        <v>275</v>
      </c>
      <c r="F350" s="63">
        <v>2.29</v>
      </c>
      <c r="G350" s="58">
        <v>20</v>
      </c>
      <c r="H350" s="59">
        <f t="shared" si="13"/>
        <v>45.8</v>
      </c>
      <c r="I350" s="60">
        <v>0.229</v>
      </c>
      <c r="J350" s="60">
        <f t="shared" si="14"/>
        <v>4.58</v>
      </c>
      <c r="K350" s="62" t="s">
        <v>132</v>
      </c>
      <c r="U350" s="4"/>
    </row>
    <row r="351" spans="1:21" s="3" customFormat="1" ht="25.5">
      <c r="A351" s="55">
        <v>2025</v>
      </c>
      <c r="B351" s="58" t="s">
        <v>402</v>
      </c>
      <c r="C351" s="56" t="s">
        <v>273</v>
      </c>
      <c r="D351" s="56" t="s">
        <v>398</v>
      </c>
      <c r="E351" s="56" t="s">
        <v>276</v>
      </c>
      <c r="F351" s="63">
        <v>2.29</v>
      </c>
      <c r="G351" s="58">
        <f>17</f>
        <v>17</v>
      </c>
      <c r="H351" s="59">
        <f t="shared" si="13"/>
        <v>38.93</v>
      </c>
      <c r="I351" s="60">
        <v>0.229</v>
      </c>
      <c r="J351" s="60">
        <f t="shared" si="14"/>
        <v>3.8930000000000002</v>
      </c>
      <c r="K351" s="62" t="s">
        <v>132</v>
      </c>
      <c r="U351" s="4"/>
    </row>
    <row r="352" spans="1:21" s="3" customFormat="1" ht="25.5">
      <c r="A352" s="55">
        <v>2026</v>
      </c>
      <c r="B352" s="58" t="s">
        <v>403</v>
      </c>
      <c r="C352" s="56" t="s">
        <v>273</v>
      </c>
      <c r="D352" s="56" t="s">
        <v>398</v>
      </c>
      <c r="E352" s="56" t="s">
        <v>275</v>
      </c>
      <c r="F352" s="63">
        <v>2.29</v>
      </c>
      <c r="G352" s="58">
        <f>14</f>
        <v>14</v>
      </c>
      <c r="H352" s="59">
        <f t="shared" si="13"/>
        <v>32.06</v>
      </c>
      <c r="I352" s="60">
        <v>0.229</v>
      </c>
      <c r="J352" s="60">
        <f t="shared" si="14"/>
        <v>3.206</v>
      </c>
      <c r="K352" s="62" t="s">
        <v>132</v>
      </c>
      <c r="U352" s="4"/>
    </row>
    <row r="353" spans="1:21" s="3" customFormat="1" ht="25.5">
      <c r="A353" s="55">
        <v>2027</v>
      </c>
      <c r="B353" s="58" t="s">
        <v>403</v>
      </c>
      <c r="C353" s="56" t="s">
        <v>273</v>
      </c>
      <c r="D353" s="56" t="s">
        <v>398</v>
      </c>
      <c r="E353" s="56" t="s">
        <v>276</v>
      </c>
      <c r="F353" s="63">
        <v>2.29</v>
      </c>
      <c r="G353" s="58">
        <f>19</f>
        <v>19</v>
      </c>
      <c r="H353" s="59">
        <f t="shared" si="13"/>
        <v>43.51</v>
      </c>
      <c r="I353" s="60">
        <v>0.229</v>
      </c>
      <c r="J353" s="60">
        <f t="shared" si="14"/>
        <v>4.351</v>
      </c>
      <c r="K353" s="62" t="s">
        <v>132</v>
      </c>
      <c r="U353" s="4"/>
    </row>
    <row r="354" spans="1:21" s="3" customFormat="1" ht="25.5">
      <c r="A354" s="55">
        <v>2028</v>
      </c>
      <c r="B354" s="58" t="s">
        <v>404</v>
      </c>
      <c r="C354" s="56" t="s">
        <v>273</v>
      </c>
      <c r="D354" s="56" t="s">
        <v>398</v>
      </c>
      <c r="E354" s="56" t="s">
        <v>275</v>
      </c>
      <c r="F354" s="63">
        <v>2.29</v>
      </c>
      <c r="G354" s="58">
        <f>14</f>
        <v>14</v>
      </c>
      <c r="H354" s="59">
        <f t="shared" si="13"/>
        <v>32.06</v>
      </c>
      <c r="I354" s="60">
        <v>0.229</v>
      </c>
      <c r="J354" s="60">
        <f t="shared" si="14"/>
        <v>3.206</v>
      </c>
      <c r="K354" s="62" t="s">
        <v>132</v>
      </c>
      <c r="U354" s="4"/>
    </row>
    <row r="355" spans="1:21" s="3" customFormat="1" ht="25.5">
      <c r="A355" s="55">
        <v>2029</v>
      </c>
      <c r="B355" s="58" t="s">
        <v>404</v>
      </c>
      <c r="C355" s="56" t="s">
        <v>273</v>
      </c>
      <c r="D355" s="56" t="s">
        <v>398</v>
      </c>
      <c r="E355" s="56" t="s">
        <v>276</v>
      </c>
      <c r="F355" s="63">
        <v>2.29</v>
      </c>
      <c r="G355" s="58">
        <f>14</f>
        <v>14</v>
      </c>
      <c r="H355" s="59">
        <f t="shared" si="13"/>
        <v>32.06</v>
      </c>
      <c r="I355" s="60">
        <v>0.229</v>
      </c>
      <c r="J355" s="60">
        <f t="shared" si="14"/>
        <v>3.206</v>
      </c>
      <c r="K355" s="62" t="s">
        <v>132</v>
      </c>
      <c r="U355" s="4"/>
    </row>
    <row r="356" spans="1:21" s="3" customFormat="1" ht="25.5">
      <c r="A356" s="55">
        <v>2030</v>
      </c>
      <c r="B356" s="58" t="s">
        <v>405</v>
      </c>
      <c r="C356" s="56" t="s">
        <v>273</v>
      </c>
      <c r="D356" s="56" t="s">
        <v>398</v>
      </c>
      <c r="E356" s="56" t="s">
        <v>275</v>
      </c>
      <c r="F356" s="63">
        <v>2.29</v>
      </c>
      <c r="G356" s="58">
        <f>10</f>
        <v>10</v>
      </c>
      <c r="H356" s="59">
        <f t="shared" si="13"/>
        <v>22.9</v>
      </c>
      <c r="I356" s="60">
        <v>0.229</v>
      </c>
      <c r="J356" s="60">
        <f t="shared" si="14"/>
        <v>2.29</v>
      </c>
      <c r="K356" s="62" t="s">
        <v>132</v>
      </c>
      <c r="U356" s="4"/>
    </row>
    <row r="357" spans="1:21" s="3" customFormat="1" ht="25.5">
      <c r="A357" s="55">
        <v>2031</v>
      </c>
      <c r="B357" s="58" t="s">
        <v>405</v>
      </c>
      <c r="C357" s="56" t="s">
        <v>273</v>
      </c>
      <c r="D357" s="56" t="s">
        <v>398</v>
      </c>
      <c r="E357" s="56" t="s">
        <v>276</v>
      </c>
      <c r="F357" s="63">
        <v>2.29</v>
      </c>
      <c r="G357" s="58">
        <f>15</f>
        <v>15</v>
      </c>
      <c r="H357" s="59">
        <f t="shared" si="13"/>
        <v>34.35</v>
      </c>
      <c r="I357" s="60">
        <v>0.229</v>
      </c>
      <c r="J357" s="60">
        <f t="shared" si="14"/>
        <v>3.435</v>
      </c>
      <c r="K357" s="62" t="s">
        <v>132</v>
      </c>
      <c r="U357" s="4"/>
    </row>
    <row r="358" spans="1:21" s="3" customFormat="1" ht="12.75">
      <c r="A358" s="55">
        <v>2078</v>
      </c>
      <c r="B358" s="58" t="s">
        <v>406</v>
      </c>
      <c r="C358" s="56" t="s">
        <v>273</v>
      </c>
      <c r="D358" s="56" t="s">
        <v>386</v>
      </c>
      <c r="E358" s="56" t="s">
        <v>387</v>
      </c>
      <c r="F358" s="63">
        <v>43.06</v>
      </c>
      <c r="G358" s="58">
        <f>2-2</f>
        <v>0</v>
      </c>
      <c r="H358" s="59">
        <f t="shared" si="13"/>
        <v>0</v>
      </c>
      <c r="I358" s="60">
        <v>3.22</v>
      </c>
      <c r="J358" s="60">
        <f t="shared" si="14"/>
        <v>0</v>
      </c>
      <c r="K358" s="62" t="s">
        <v>132</v>
      </c>
      <c r="U358" s="4"/>
    </row>
    <row r="359" spans="1:21" s="3" customFormat="1" ht="25.5">
      <c r="A359" s="55">
        <v>2097</v>
      </c>
      <c r="B359" s="58" t="s">
        <v>407</v>
      </c>
      <c r="C359" s="58" t="s">
        <v>227</v>
      </c>
      <c r="D359" s="56" t="s">
        <v>285</v>
      </c>
      <c r="E359" s="66" t="s">
        <v>408</v>
      </c>
      <c r="F359" s="63">
        <v>20.5</v>
      </c>
      <c r="G359" s="58">
        <v>4</v>
      </c>
      <c r="H359" s="59">
        <f t="shared" si="13"/>
        <v>82</v>
      </c>
      <c r="I359" s="60">
        <v>1.932</v>
      </c>
      <c r="J359" s="60">
        <f t="shared" si="14"/>
        <v>7.728</v>
      </c>
      <c r="K359" s="62" t="s">
        <v>132</v>
      </c>
      <c r="U359" s="4"/>
    </row>
    <row r="360" spans="1:21" s="3" customFormat="1" ht="25.5">
      <c r="A360" s="55">
        <v>2099</v>
      </c>
      <c r="B360" s="58" t="s">
        <v>409</v>
      </c>
      <c r="C360" s="58" t="s">
        <v>227</v>
      </c>
      <c r="D360" s="56" t="s">
        <v>285</v>
      </c>
      <c r="E360" s="66" t="s">
        <v>408</v>
      </c>
      <c r="F360" s="63">
        <v>20.5</v>
      </c>
      <c r="G360" s="58">
        <v>2</v>
      </c>
      <c r="H360" s="59">
        <f t="shared" si="13"/>
        <v>41</v>
      </c>
      <c r="I360" s="60">
        <v>1.932</v>
      </c>
      <c r="J360" s="60">
        <f t="shared" si="14"/>
        <v>3.864</v>
      </c>
      <c r="K360" s="62" t="s">
        <v>132</v>
      </c>
      <c r="U360" s="4"/>
    </row>
    <row r="361" spans="1:21" s="3" customFormat="1" ht="25.5">
      <c r="A361" s="55">
        <v>2101</v>
      </c>
      <c r="B361" s="58" t="s">
        <v>410</v>
      </c>
      <c r="C361" s="58" t="s">
        <v>227</v>
      </c>
      <c r="D361" s="56" t="s">
        <v>285</v>
      </c>
      <c r="E361" s="66" t="s">
        <v>408</v>
      </c>
      <c r="F361" s="63">
        <v>16.5</v>
      </c>
      <c r="G361" s="58">
        <v>1</v>
      </c>
      <c r="H361" s="59">
        <f t="shared" si="13"/>
        <v>16.5</v>
      </c>
      <c r="I361" s="60">
        <v>1.26</v>
      </c>
      <c r="J361" s="60">
        <f t="shared" si="14"/>
        <v>1.26</v>
      </c>
      <c r="K361" s="62" t="s">
        <v>132</v>
      </c>
      <c r="U361" s="4"/>
    </row>
    <row r="362" spans="1:21" s="3" customFormat="1" ht="25.5">
      <c r="A362" s="55">
        <v>2103</v>
      </c>
      <c r="B362" s="58" t="s">
        <v>411</v>
      </c>
      <c r="C362" s="58" t="s">
        <v>227</v>
      </c>
      <c r="D362" s="56" t="s">
        <v>285</v>
      </c>
      <c r="E362" s="66" t="s">
        <v>408</v>
      </c>
      <c r="F362" s="63">
        <v>17.5</v>
      </c>
      <c r="G362" s="58">
        <v>2</v>
      </c>
      <c r="H362" s="59">
        <f t="shared" si="13"/>
        <v>35</v>
      </c>
      <c r="I362" s="60">
        <v>1.54</v>
      </c>
      <c r="J362" s="60">
        <f t="shared" si="14"/>
        <v>3.08</v>
      </c>
      <c r="K362" s="62" t="s">
        <v>132</v>
      </c>
      <c r="U362" s="4"/>
    </row>
    <row r="363" spans="1:21" s="3" customFormat="1" ht="25.5">
      <c r="A363" s="55">
        <v>2104</v>
      </c>
      <c r="B363" s="58" t="s">
        <v>412</v>
      </c>
      <c r="C363" s="58" t="s">
        <v>227</v>
      </c>
      <c r="D363" s="56" t="s">
        <v>285</v>
      </c>
      <c r="E363" s="66" t="s">
        <v>408</v>
      </c>
      <c r="F363" s="63">
        <v>17.5</v>
      </c>
      <c r="G363" s="58">
        <v>4</v>
      </c>
      <c r="H363" s="59">
        <f t="shared" si="13"/>
        <v>70</v>
      </c>
      <c r="I363" s="60">
        <v>1.54</v>
      </c>
      <c r="J363" s="60">
        <f t="shared" si="14"/>
        <v>6.16</v>
      </c>
      <c r="K363" s="62" t="s">
        <v>132</v>
      </c>
      <c r="U363" s="4"/>
    </row>
    <row r="364" spans="1:21" s="3" customFormat="1" ht="17.25" customHeight="1">
      <c r="A364" s="55">
        <v>2107</v>
      </c>
      <c r="B364" s="58" t="s">
        <v>413</v>
      </c>
      <c r="C364" s="58" t="s">
        <v>227</v>
      </c>
      <c r="D364" s="56" t="s">
        <v>285</v>
      </c>
      <c r="E364" s="66" t="s">
        <v>408</v>
      </c>
      <c r="F364" s="63">
        <v>16.5</v>
      </c>
      <c r="G364" s="58">
        <v>2</v>
      </c>
      <c r="H364" s="59">
        <f t="shared" si="13"/>
        <v>33</v>
      </c>
      <c r="I364" s="60">
        <v>1.26</v>
      </c>
      <c r="J364" s="60">
        <f t="shared" si="14"/>
        <v>2.52</v>
      </c>
      <c r="K364" s="62" t="s">
        <v>132</v>
      </c>
      <c r="U364" s="4"/>
    </row>
    <row r="365" spans="1:21" s="3" customFormat="1" ht="25.5">
      <c r="A365" s="55">
        <v>2109</v>
      </c>
      <c r="B365" s="58" t="s">
        <v>414</v>
      </c>
      <c r="C365" s="58" t="s">
        <v>227</v>
      </c>
      <c r="D365" s="56" t="s">
        <v>285</v>
      </c>
      <c r="E365" s="66" t="s">
        <v>408</v>
      </c>
      <c r="F365" s="63">
        <v>16.5</v>
      </c>
      <c r="G365" s="58">
        <v>1</v>
      </c>
      <c r="H365" s="59">
        <f t="shared" si="13"/>
        <v>16.5</v>
      </c>
      <c r="I365" s="60">
        <v>1.26</v>
      </c>
      <c r="J365" s="60">
        <f t="shared" si="14"/>
        <v>1.26</v>
      </c>
      <c r="K365" s="62" t="s">
        <v>132</v>
      </c>
      <c r="U365" s="4"/>
    </row>
    <row r="366" spans="1:21" s="3" customFormat="1" ht="33" customHeight="1">
      <c r="A366" s="55">
        <v>2110</v>
      </c>
      <c r="B366" s="58" t="s">
        <v>415</v>
      </c>
      <c r="C366" s="56" t="s">
        <v>227</v>
      </c>
      <c r="D366" s="56" t="s">
        <v>285</v>
      </c>
      <c r="E366" s="56" t="s">
        <v>302</v>
      </c>
      <c r="F366" s="63">
        <v>3.5</v>
      </c>
      <c r="G366" s="58">
        <v>8</v>
      </c>
      <c r="H366" s="59">
        <f t="shared" si="13"/>
        <v>28</v>
      </c>
      <c r="I366" s="60">
        <v>0.308</v>
      </c>
      <c r="J366" s="60">
        <f t="shared" si="14"/>
        <v>2.464</v>
      </c>
      <c r="K366" s="62" t="s">
        <v>132</v>
      </c>
      <c r="U366" s="4"/>
    </row>
    <row r="367" spans="1:21" s="3" customFormat="1" ht="25.5">
      <c r="A367" s="55">
        <v>2173</v>
      </c>
      <c r="B367" s="58" t="s">
        <v>416</v>
      </c>
      <c r="C367" s="56" t="s">
        <v>227</v>
      </c>
      <c r="D367" s="56" t="s">
        <v>285</v>
      </c>
      <c r="E367" s="56" t="s">
        <v>302</v>
      </c>
      <c r="F367" s="63">
        <v>18</v>
      </c>
      <c r="G367" s="58">
        <f>1</f>
        <v>1</v>
      </c>
      <c r="H367" s="59">
        <f aca="true" t="shared" si="15" ref="H367:H385">G367*F367</f>
        <v>18</v>
      </c>
      <c r="I367" s="60">
        <v>1.568</v>
      </c>
      <c r="J367" s="60">
        <f t="shared" si="14"/>
        <v>1.568</v>
      </c>
      <c r="K367" s="62" t="s">
        <v>132</v>
      </c>
      <c r="U367" s="4"/>
    </row>
    <row r="368" spans="1:21" s="3" customFormat="1" ht="25.5">
      <c r="A368" s="55">
        <v>2179</v>
      </c>
      <c r="B368" s="58" t="s">
        <v>417</v>
      </c>
      <c r="C368" s="56" t="s">
        <v>227</v>
      </c>
      <c r="D368" s="56" t="s">
        <v>285</v>
      </c>
      <c r="E368" s="56" t="s">
        <v>302</v>
      </c>
      <c r="F368" s="63">
        <v>18</v>
      </c>
      <c r="G368" s="58">
        <f>5</f>
        <v>5</v>
      </c>
      <c r="H368" s="59">
        <f t="shared" si="15"/>
        <v>90</v>
      </c>
      <c r="I368" s="60">
        <v>1.568</v>
      </c>
      <c r="J368" s="60">
        <f aca="true" t="shared" si="16" ref="J368:J385">G368*I368</f>
        <v>7.84</v>
      </c>
      <c r="K368" s="62" t="s">
        <v>132</v>
      </c>
      <c r="U368" s="4"/>
    </row>
    <row r="369" spans="1:21" s="3" customFormat="1" ht="12.75">
      <c r="A369" s="55">
        <v>2205</v>
      </c>
      <c r="B369" s="58" t="s">
        <v>418</v>
      </c>
      <c r="C369" s="66" t="s">
        <v>227</v>
      </c>
      <c r="D369" s="66" t="s">
        <v>134</v>
      </c>
      <c r="E369" s="66" t="s">
        <v>419</v>
      </c>
      <c r="F369" s="63">
        <v>120</v>
      </c>
      <c r="G369" s="58">
        <v>1</v>
      </c>
      <c r="H369" s="59">
        <f t="shared" si="15"/>
        <v>120</v>
      </c>
      <c r="I369" s="60">
        <v>8.96</v>
      </c>
      <c r="J369" s="60">
        <f t="shared" si="16"/>
        <v>8.96</v>
      </c>
      <c r="K369" s="62" t="s">
        <v>132</v>
      </c>
      <c r="U369" s="4"/>
    </row>
    <row r="370" spans="1:21" s="3" customFormat="1" ht="12.75">
      <c r="A370" s="55">
        <v>2207</v>
      </c>
      <c r="B370" s="58" t="s">
        <v>420</v>
      </c>
      <c r="C370" s="66" t="s">
        <v>188</v>
      </c>
      <c r="D370" s="56" t="s">
        <v>421</v>
      </c>
      <c r="E370" s="56" t="s">
        <v>212</v>
      </c>
      <c r="F370" s="63">
        <v>0.01</v>
      </c>
      <c r="G370" s="58">
        <f>240+250+250+248</f>
        <v>988</v>
      </c>
      <c r="H370" s="59">
        <f t="shared" si="15"/>
        <v>9.88</v>
      </c>
      <c r="I370" s="60">
        <v>0.008</v>
      </c>
      <c r="J370" s="60">
        <f t="shared" si="16"/>
        <v>7.904</v>
      </c>
      <c r="K370" s="62" t="s">
        <v>132</v>
      </c>
      <c r="U370" s="4"/>
    </row>
    <row r="371" spans="1:21" s="3" customFormat="1" ht="12.75">
      <c r="A371" s="55">
        <v>2210</v>
      </c>
      <c r="B371" s="58" t="s">
        <v>422</v>
      </c>
      <c r="C371" s="66" t="s">
        <v>273</v>
      </c>
      <c r="D371" s="66" t="s">
        <v>386</v>
      </c>
      <c r="E371" s="58" t="s">
        <v>275</v>
      </c>
      <c r="F371" s="63">
        <v>30</v>
      </c>
      <c r="G371" s="58">
        <f>321-2</f>
        <v>319</v>
      </c>
      <c r="H371" s="59">
        <f t="shared" si="15"/>
        <v>9570</v>
      </c>
      <c r="I371" s="60">
        <v>2.66</v>
      </c>
      <c r="J371" s="60">
        <f t="shared" si="16"/>
        <v>848.5400000000001</v>
      </c>
      <c r="K371" s="62"/>
      <c r="U371" s="4"/>
    </row>
    <row r="372" spans="1:21" s="3" customFormat="1" ht="12.75">
      <c r="A372" s="55">
        <v>2233</v>
      </c>
      <c r="B372" s="58" t="s">
        <v>423</v>
      </c>
      <c r="C372" s="56" t="s">
        <v>188</v>
      </c>
      <c r="D372" s="56" t="s">
        <v>424</v>
      </c>
      <c r="E372" s="58" t="s">
        <v>212</v>
      </c>
      <c r="F372" s="63">
        <v>34</v>
      </c>
      <c r="G372" s="58">
        <v>1</v>
      </c>
      <c r="H372" s="59">
        <f t="shared" si="15"/>
        <v>34</v>
      </c>
      <c r="I372" s="60">
        <v>3.1079999999999997</v>
      </c>
      <c r="J372" s="60">
        <f t="shared" si="16"/>
        <v>3.1079999999999997</v>
      </c>
      <c r="K372" s="62" t="s">
        <v>132</v>
      </c>
      <c r="U372" s="4"/>
    </row>
    <row r="373" spans="1:21" s="3" customFormat="1" ht="25.5">
      <c r="A373" s="55">
        <v>2305</v>
      </c>
      <c r="B373" s="58" t="s">
        <v>371</v>
      </c>
      <c r="C373" s="66" t="s">
        <v>227</v>
      </c>
      <c r="D373" s="56" t="s">
        <v>285</v>
      </c>
      <c r="E373" s="56" t="s">
        <v>425</v>
      </c>
      <c r="F373" s="63">
        <v>1.6</v>
      </c>
      <c r="G373" s="58">
        <v>129</v>
      </c>
      <c r="H373" s="59">
        <f t="shared" si="15"/>
        <v>206.4</v>
      </c>
      <c r="I373" s="60">
        <v>0.14</v>
      </c>
      <c r="J373" s="60">
        <f t="shared" si="16"/>
        <v>18.060000000000002</v>
      </c>
      <c r="K373" s="62" t="s">
        <v>132</v>
      </c>
      <c r="U373" s="4"/>
    </row>
    <row r="374" spans="1:21" s="3" customFormat="1" ht="25.5">
      <c r="A374" s="55">
        <v>2306</v>
      </c>
      <c r="B374" s="58" t="s">
        <v>373</v>
      </c>
      <c r="C374" s="66" t="s">
        <v>227</v>
      </c>
      <c r="D374" s="56" t="s">
        <v>285</v>
      </c>
      <c r="E374" s="56" t="s">
        <v>425</v>
      </c>
      <c r="F374" s="63">
        <v>1.6</v>
      </c>
      <c r="G374" s="58">
        <v>130</v>
      </c>
      <c r="H374" s="59">
        <f t="shared" si="15"/>
        <v>208</v>
      </c>
      <c r="I374" s="60">
        <v>0.14</v>
      </c>
      <c r="J374" s="60">
        <f t="shared" si="16"/>
        <v>18.200000000000003</v>
      </c>
      <c r="K374" s="62" t="s">
        <v>132</v>
      </c>
      <c r="U374" s="4"/>
    </row>
    <row r="375" spans="1:21" s="3" customFormat="1" ht="25.5">
      <c r="A375" s="55">
        <v>2307</v>
      </c>
      <c r="B375" s="58" t="s">
        <v>374</v>
      </c>
      <c r="C375" s="66" t="s">
        <v>227</v>
      </c>
      <c r="D375" s="56" t="s">
        <v>285</v>
      </c>
      <c r="E375" s="56" t="s">
        <v>425</v>
      </c>
      <c r="F375" s="63">
        <v>1.6</v>
      </c>
      <c r="G375" s="58">
        <f>136</f>
        <v>136</v>
      </c>
      <c r="H375" s="59">
        <f t="shared" si="15"/>
        <v>217.60000000000002</v>
      </c>
      <c r="I375" s="60">
        <v>0.14</v>
      </c>
      <c r="J375" s="60">
        <f t="shared" si="16"/>
        <v>19.040000000000003</v>
      </c>
      <c r="K375" s="62" t="s">
        <v>132</v>
      </c>
      <c r="U375" s="4"/>
    </row>
    <row r="376" spans="1:21" s="3" customFormat="1" ht="25.5">
      <c r="A376" s="55">
        <v>2308</v>
      </c>
      <c r="B376" s="58" t="s">
        <v>375</v>
      </c>
      <c r="C376" s="66" t="s">
        <v>227</v>
      </c>
      <c r="D376" s="56" t="s">
        <v>285</v>
      </c>
      <c r="E376" s="56" t="s">
        <v>425</v>
      </c>
      <c r="F376" s="63">
        <v>1.6</v>
      </c>
      <c r="G376" s="58">
        <v>131</v>
      </c>
      <c r="H376" s="59">
        <f t="shared" si="15"/>
        <v>209.60000000000002</v>
      </c>
      <c r="I376" s="60">
        <v>0.14</v>
      </c>
      <c r="J376" s="60">
        <f t="shared" si="16"/>
        <v>18.340000000000003</v>
      </c>
      <c r="K376" s="62" t="s">
        <v>132</v>
      </c>
      <c r="U376" s="4"/>
    </row>
    <row r="377" spans="1:21" s="3" customFormat="1" ht="25.5">
      <c r="A377" s="55">
        <v>2309</v>
      </c>
      <c r="B377" s="58" t="s">
        <v>376</v>
      </c>
      <c r="C377" s="66" t="s">
        <v>227</v>
      </c>
      <c r="D377" s="56" t="s">
        <v>285</v>
      </c>
      <c r="E377" s="56" t="s">
        <v>425</v>
      </c>
      <c r="F377" s="63">
        <v>1.6</v>
      </c>
      <c r="G377" s="58">
        <v>125</v>
      </c>
      <c r="H377" s="59">
        <f t="shared" si="15"/>
        <v>200</v>
      </c>
      <c r="I377" s="60">
        <v>0.14</v>
      </c>
      <c r="J377" s="60">
        <f t="shared" si="16"/>
        <v>17.5</v>
      </c>
      <c r="K377" s="62" t="s">
        <v>132</v>
      </c>
      <c r="U377" s="4"/>
    </row>
    <row r="378" spans="1:21" s="3" customFormat="1" ht="25.5">
      <c r="A378" s="55">
        <v>2311</v>
      </c>
      <c r="B378" s="58" t="s">
        <v>378</v>
      </c>
      <c r="C378" s="66" t="s">
        <v>227</v>
      </c>
      <c r="D378" s="56" t="s">
        <v>285</v>
      </c>
      <c r="E378" s="56" t="s">
        <v>425</v>
      </c>
      <c r="F378" s="63">
        <v>1.6</v>
      </c>
      <c r="G378" s="58">
        <f>131</f>
        <v>131</v>
      </c>
      <c r="H378" s="59">
        <f t="shared" si="15"/>
        <v>209.60000000000002</v>
      </c>
      <c r="I378" s="60">
        <v>0.14</v>
      </c>
      <c r="J378" s="60">
        <f t="shared" si="16"/>
        <v>18.340000000000003</v>
      </c>
      <c r="K378" s="62" t="s">
        <v>132</v>
      </c>
      <c r="U378" s="4"/>
    </row>
    <row r="379" spans="1:21" s="3" customFormat="1" ht="25.5">
      <c r="A379" s="55">
        <v>2312</v>
      </c>
      <c r="B379" s="58" t="s">
        <v>379</v>
      </c>
      <c r="C379" s="66" t="s">
        <v>227</v>
      </c>
      <c r="D379" s="56" t="s">
        <v>285</v>
      </c>
      <c r="E379" s="56" t="s">
        <v>425</v>
      </c>
      <c r="F379" s="63">
        <v>1.6</v>
      </c>
      <c r="G379" s="58">
        <f>130-130</f>
        <v>0</v>
      </c>
      <c r="H379" s="59">
        <f t="shared" si="15"/>
        <v>0</v>
      </c>
      <c r="I379" s="60">
        <v>0.14</v>
      </c>
      <c r="J379" s="60">
        <f t="shared" si="16"/>
        <v>0</v>
      </c>
      <c r="K379" s="62" t="s">
        <v>132</v>
      </c>
      <c r="U379" s="4"/>
    </row>
    <row r="380" spans="1:21" s="3" customFormat="1" ht="25.5">
      <c r="A380" s="55">
        <v>2313</v>
      </c>
      <c r="B380" s="58" t="s">
        <v>380</v>
      </c>
      <c r="C380" s="66" t="s">
        <v>227</v>
      </c>
      <c r="D380" s="56" t="s">
        <v>285</v>
      </c>
      <c r="E380" s="56" t="s">
        <v>425</v>
      </c>
      <c r="F380" s="63">
        <v>1.6</v>
      </c>
      <c r="G380" s="58">
        <v>144</v>
      </c>
      <c r="H380" s="59">
        <f t="shared" si="15"/>
        <v>230.4</v>
      </c>
      <c r="I380" s="60">
        <v>0.14</v>
      </c>
      <c r="J380" s="60">
        <f t="shared" si="16"/>
        <v>20.160000000000004</v>
      </c>
      <c r="K380" s="62" t="s">
        <v>132</v>
      </c>
      <c r="U380" s="4"/>
    </row>
    <row r="381" spans="1:21" s="3" customFormat="1" ht="21" customHeight="1">
      <c r="A381" s="55">
        <v>2314</v>
      </c>
      <c r="B381" s="58" t="s">
        <v>381</v>
      </c>
      <c r="C381" s="66" t="s">
        <v>227</v>
      </c>
      <c r="D381" s="56" t="s">
        <v>285</v>
      </c>
      <c r="E381" s="56" t="s">
        <v>425</v>
      </c>
      <c r="F381" s="63">
        <v>1.6</v>
      </c>
      <c r="G381" s="58">
        <v>132</v>
      </c>
      <c r="H381" s="59">
        <f t="shared" si="15"/>
        <v>211.20000000000002</v>
      </c>
      <c r="I381" s="60">
        <v>0.14</v>
      </c>
      <c r="J381" s="60">
        <f t="shared" si="16"/>
        <v>18.48</v>
      </c>
      <c r="K381" s="62" t="s">
        <v>132</v>
      </c>
      <c r="U381" s="4"/>
    </row>
    <row r="382" spans="1:21" s="3" customFormat="1" ht="25.5">
      <c r="A382" s="55">
        <v>2315</v>
      </c>
      <c r="B382" s="58" t="s">
        <v>382</v>
      </c>
      <c r="C382" s="66" t="s">
        <v>227</v>
      </c>
      <c r="D382" s="56" t="s">
        <v>285</v>
      </c>
      <c r="E382" s="56" t="s">
        <v>425</v>
      </c>
      <c r="F382" s="63">
        <v>1.6</v>
      </c>
      <c r="G382" s="58">
        <v>138</v>
      </c>
      <c r="H382" s="59">
        <f t="shared" si="15"/>
        <v>220.8</v>
      </c>
      <c r="I382" s="60">
        <v>0.14</v>
      </c>
      <c r="J382" s="60">
        <f t="shared" si="16"/>
        <v>19.32</v>
      </c>
      <c r="K382" s="62" t="s">
        <v>132</v>
      </c>
      <c r="U382" s="4"/>
    </row>
    <row r="383" spans="1:21" s="3" customFormat="1" ht="25.5">
      <c r="A383" s="55">
        <v>2316</v>
      </c>
      <c r="B383" s="58" t="s">
        <v>383</v>
      </c>
      <c r="C383" s="66" t="s">
        <v>227</v>
      </c>
      <c r="D383" s="56" t="s">
        <v>285</v>
      </c>
      <c r="E383" s="56" t="s">
        <v>425</v>
      </c>
      <c r="F383" s="63">
        <v>1.6</v>
      </c>
      <c r="G383" s="58">
        <v>130</v>
      </c>
      <c r="H383" s="59">
        <f t="shared" si="15"/>
        <v>208</v>
      </c>
      <c r="I383" s="60">
        <v>0.14</v>
      </c>
      <c r="J383" s="60">
        <f t="shared" si="16"/>
        <v>18.200000000000003</v>
      </c>
      <c r="K383" s="62" t="s">
        <v>132</v>
      </c>
      <c r="U383" s="4"/>
    </row>
    <row r="384" spans="1:21" s="3" customFormat="1" ht="25.5">
      <c r="A384" s="55">
        <v>2317</v>
      </c>
      <c r="B384" s="58" t="s">
        <v>384</v>
      </c>
      <c r="C384" s="66" t="s">
        <v>227</v>
      </c>
      <c r="D384" s="56" t="s">
        <v>285</v>
      </c>
      <c r="E384" s="56" t="s">
        <v>425</v>
      </c>
      <c r="F384" s="63">
        <v>1.6</v>
      </c>
      <c r="G384" s="58">
        <v>126</v>
      </c>
      <c r="H384" s="59">
        <f t="shared" si="15"/>
        <v>201.60000000000002</v>
      </c>
      <c r="I384" s="60">
        <v>0.14</v>
      </c>
      <c r="J384" s="60">
        <f t="shared" si="16"/>
        <v>17.64</v>
      </c>
      <c r="K384" s="62" t="s">
        <v>132</v>
      </c>
      <c r="U384" s="4"/>
    </row>
    <row r="385" spans="1:21" s="3" customFormat="1" ht="51">
      <c r="A385" s="55">
        <v>2321</v>
      </c>
      <c r="B385" s="58" t="s">
        <v>426</v>
      </c>
      <c r="C385" s="66" t="s">
        <v>273</v>
      </c>
      <c r="D385" s="58" t="s">
        <v>274</v>
      </c>
      <c r="E385" s="66" t="s">
        <v>275</v>
      </c>
      <c r="F385" s="63">
        <v>15.35</v>
      </c>
      <c r="G385" s="58">
        <f>31</f>
        <v>31</v>
      </c>
      <c r="H385" s="59">
        <f t="shared" si="15"/>
        <v>475.84999999999997</v>
      </c>
      <c r="I385" s="60">
        <v>1.26</v>
      </c>
      <c r="J385" s="60">
        <f t="shared" si="16"/>
        <v>39.06</v>
      </c>
      <c r="K385" s="62" t="s">
        <v>132</v>
      </c>
      <c r="U385" s="4"/>
    </row>
    <row r="386" spans="1:21" s="3" customFormat="1" ht="15">
      <c r="A386" s="103" t="s">
        <v>427</v>
      </c>
      <c r="B386" s="103"/>
      <c r="C386" s="103"/>
      <c r="D386" s="25"/>
      <c r="E386" s="25"/>
      <c r="F386" s="67"/>
      <c r="G386" s="67"/>
      <c r="H386" s="67"/>
      <c r="I386" s="68"/>
      <c r="J386" s="69">
        <f>SUM(J111:J385)</f>
        <v>4310.155400000001</v>
      </c>
      <c r="K386" s="69"/>
      <c r="U386" s="4"/>
    </row>
    <row r="387" spans="1:21" s="3" customFormat="1" ht="22.5" customHeight="1">
      <c r="A387" s="131" t="s">
        <v>428</v>
      </c>
      <c r="B387" s="131"/>
      <c r="C387" s="131"/>
      <c r="D387" s="131"/>
      <c r="E387" s="131"/>
      <c r="F387" s="131"/>
      <c r="G387" s="131"/>
      <c r="H387" s="131"/>
      <c r="I387" s="131"/>
      <c r="J387" s="132"/>
      <c r="K387" s="132"/>
      <c r="U387" s="4"/>
    </row>
    <row r="388" spans="1:20" s="3" customFormat="1" ht="60">
      <c r="A388" s="55"/>
      <c r="B388" s="70" t="s">
        <v>118</v>
      </c>
      <c r="C388" s="70" t="s">
        <v>429</v>
      </c>
      <c r="D388" s="70"/>
      <c r="E388" s="70"/>
      <c r="F388" s="71" t="s">
        <v>120</v>
      </c>
      <c r="G388" s="71" t="s">
        <v>121</v>
      </c>
      <c r="H388" s="70" t="s">
        <v>122</v>
      </c>
      <c r="I388" s="72" t="s">
        <v>123</v>
      </c>
      <c r="J388" s="72" t="s">
        <v>124</v>
      </c>
      <c r="K388" s="53" t="s">
        <v>8</v>
      </c>
      <c r="T388" s="4"/>
    </row>
    <row r="389" spans="1:22" s="3" customFormat="1" ht="12.75">
      <c r="A389" s="55">
        <v>90001</v>
      </c>
      <c r="B389" s="58" t="s">
        <v>430</v>
      </c>
      <c r="C389" s="58" t="s">
        <v>431</v>
      </c>
      <c r="D389" s="58" t="s">
        <v>432</v>
      </c>
      <c r="E389" s="58" t="s">
        <v>433</v>
      </c>
      <c r="F389" s="63">
        <v>4</v>
      </c>
      <c r="G389" s="58">
        <f>134</f>
        <v>134</v>
      </c>
      <c r="H389" s="59">
        <f aca="true" t="shared" si="17" ref="H389:H452">G389*F389</f>
        <v>536</v>
      </c>
      <c r="I389" s="68">
        <v>0.28</v>
      </c>
      <c r="J389" s="68">
        <f>G389*I389</f>
        <v>37.52</v>
      </c>
      <c r="K389" s="73" t="s">
        <v>129</v>
      </c>
      <c r="L389" s="74"/>
      <c r="V389" s="4"/>
    </row>
    <row r="390" spans="1:22" s="3" customFormat="1" ht="12.75">
      <c r="A390" s="55">
        <v>90002</v>
      </c>
      <c r="B390" s="58" t="s">
        <v>434</v>
      </c>
      <c r="C390" s="58" t="s">
        <v>431</v>
      </c>
      <c r="D390" s="58" t="s">
        <v>432</v>
      </c>
      <c r="E390" s="58" t="s">
        <v>433</v>
      </c>
      <c r="F390" s="63">
        <v>4</v>
      </c>
      <c r="G390" s="58">
        <f>98</f>
        <v>98</v>
      </c>
      <c r="H390" s="59">
        <f t="shared" si="17"/>
        <v>392</v>
      </c>
      <c r="I390" s="68">
        <v>0.28</v>
      </c>
      <c r="J390" s="68">
        <f aca="true" t="shared" si="18" ref="J390:J453">G390*I390</f>
        <v>27.44</v>
      </c>
      <c r="K390" s="62" t="s">
        <v>132</v>
      </c>
      <c r="L390" s="75"/>
      <c r="V390" s="4"/>
    </row>
    <row r="391" spans="1:22" s="3" customFormat="1" ht="12.75">
      <c r="A391" s="55">
        <v>90003</v>
      </c>
      <c r="B391" s="58" t="s">
        <v>435</v>
      </c>
      <c r="C391" s="58" t="s">
        <v>431</v>
      </c>
      <c r="D391" s="58" t="s">
        <v>432</v>
      </c>
      <c r="E391" s="58" t="s">
        <v>433</v>
      </c>
      <c r="F391" s="63">
        <v>4</v>
      </c>
      <c r="G391" s="58">
        <f>47+20+12</f>
        <v>79</v>
      </c>
      <c r="H391" s="59">
        <f t="shared" si="17"/>
        <v>316</v>
      </c>
      <c r="I391" s="68">
        <v>0.28</v>
      </c>
      <c r="J391" s="68">
        <f t="shared" si="18"/>
        <v>22.12</v>
      </c>
      <c r="K391" s="62" t="s">
        <v>132</v>
      </c>
      <c r="L391" s="75"/>
      <c r="V391" s="4"/>
    </row>
    <row r="392" spans="1:22" s="3" customFormat="1" ht="25.5">
      <c r="A392" s="55">
        <v>90007</v>
      </c>
      <c r="B392" s="58" t="s">
        <v>436</v>
      </c>
      <c r="C392" s="58" t="s">
        <v>431</v>
      </c>
      <c r="D392" s="58" t="s">
        <v>437</v>
      </c>
      <c r="E392" s="58" t="s">
        <v>438</v>
      </c>
      <c r="F392" s="63">
        <v>0.11</v>
      </c>
      <c r="G392" s="58">
        <f>3000+3000+2180</f>
        <v>8180</v>
      </c>
      <c r="H392" s="59">
        <f t="shared" si="17"/>
        <v>899.8</v>
      </c>
      <c r="I392" s="68">
        <v>0.008</v>
      </c>
      <c r="J392" s="68">
        <f t="shared" si="18"/>
        <v>65.44</v>
      </c>
      <c r="K392" s="62" t="s">
        <v>132</v>
      </c>
      <c r="L392" s="75"/>
      <c r="V392" s="4"/>
    </row>
    <row r="393" spans="1:22" s="3" customFormat="1" ht="12.75">
      <c r="A393" s="55">
        <v>90022</v>
      </c>
      <c r="B393" s="58" t="s">
        <v>439</v>
      </c>
      <c r="C393" s="58" t="s">
        <v>431</v>
      </c>
      <c r="D393" s="58" t="s">
        <v>432</v>
      </c>
      <c r="E393" s="58" t="s">
        <v>433</v>
      </c>
      <c r="F393" s="63">
        <v>4</v>
      </c>
      <c r="G393" s="58">
        <v>90</v>
      </c>
      <c r="H393" s="59">
        <f t="shared" si="17"/>
        <v>360</v>
      </c>
      <c r="I393" s="68">
        <v>0.28</v>
      </c>
      <c r="J393" s="68">
        <f t="shared" si="18"/>
        <v>25.200000000000003</v>
      </c>
      <c r="K393" s="62" t="s">
        <v>132</v>
      </c>
      <c r="L393" s="75"/>
      <c r="V393" s="4"/>
    </row>
    <row r="394" spans="1:22" s="3" customFormat="1" ht="12.75">
      <c r="A394" s="55">
        <v>90023</v>
      </c>
      <c r="B394" s="58" t="s">
        <v>440</v>
      </c>
      <c r="C394" s="58" t="s">
        <v>431</v>
      </c>
      <c r="D394" s="58" t="s">
        <v>432</v>
      </c>
      <c r="E394" s="58" t="s">
        <v>433</v>
      </c>
      <c r="F394" s="63">
        <v>4</v>
      </c>
      <c r="G394" s="58">
        <f>44</f>
        <v>44</v>
      </c>
      <c r="H394" s="59">
        <f t="shared" si="17"/>
        <v>176</v>
      </c>
      <c r="I394" s="68">
        <v>0.28</v>
      </c>
      <c r="J394" s="68">
        <f t="shared" si="18"/>
        <v>12.32</v>
      </c>
      <c r="K394" s="62" t="s">
        <v>132</v>
      </c>
      <c r="L394" s="75"/>
      <c r="V394" s="4"/>
    </row>
    <row r="395" spans="1:22" s="3" customFormat="1" ht="12.75">
      <c r="A395" s="55">
        <v>90024</v>
      </c>
      <c r="B395" s="58" t="s">
        <v>441</v>
      </c>
      <c r="C395" s="58" t="s">
        <v>431</v>
      </c>
      <c r="D395" s="58" t="s">
        <v>432</v>
      </c>
      <c r="E395" s="58" t="s">
        <v>433</v>
      </c>
      <c r="F395" s="63">
        <v>4</v>
      </c>
      <c r="G395" s="58">
        <f>23</f>
        <v>23</v>
      </c>
      <c r="H395" s="59">
        <f t="shared" si="17"/>
        <v>92</v>
      </c>
      <c r="I395" s="68">
        <v>0.28</v>
      </c>
      <c r="J395" s="68">
        <f t="shared" si="18"/>
        <v>6.44</v>
      </c>
      <c r="K395" s="62" t="s">
        <v>132</v>
      </c>
      <c r="L395" s="75"/>
      <c r="V395" s="4"/>
    </row>
    <row r="396" spans="1:22" s="3" customFormat="1" ht="12.75">
      <c r="A396" s="55">
        <v>90025</v>
      </c>
      <c r="B396" s="58" t="s">
        <v>442</v>
      </c>
      <c r="C396" s="58" t="s">
        <v>431</v>
      </c>
      <c r="D396" s="58" t="s">
        <v>432</v>
      </c>
      <c r="E396" s="58" t="s">
        <v>433</v>
      </c>
      <c r="F396" s="63">
        <v>3</v>
      </c>
      <c r="G396" s="58">
        <f>168</f>
        <v>168</v>
      </c>
      <c r="H396" s="59">
        <f t="shared" si="17"/>
        <v>504</v>
      </c>
      <c r="I396" s="68">
        <v>0.4</v>
      </c>
      <c r="J396" s="68">
        <f t="shared" si="18"/>
        <v>67.2</v>
      </c>
      <c r="K396" s="62" t="s">
        <v>132</v>
      </c>
      <c r="L396" s="75"/>
      <c r="V396" s="4"/>
    </row>
    <row r="397" spans="1:22" s="3" customFormat="1" ht="25.5">
      <c r="A397" s="55">
        <v>90027</v>
      </c>
      <c r="B397" s="58" t="s">
        <v>443</v>
      </c>
      <c r="C397" s="58" t="s">
        <v>431</v>
      </c>
      <c r="D397" s="58" t="s">
        <v>444</v>
      </c>
      <c r="E397" s="58" t="s">
        <v>445</v>
      </c>
      <c r="F397" s="63">
        <v>2.01</v>
      </c>
      <c r="G397" s="58">
        <f>46</f>
        <v>46</v>
      </c>
      <c r="H397" s="59">
        <f t="shared" si="17"/>
        <v>92.46</v>
      </c>
      <c r="I397" s="68">
        <v>0.2</v>
      </c>
      <c r="J397" s="68">
        <f t="shared" si="18"/>
        <v>9.200000000000001</v>
      </c>
      <c r="K397" s="62" t="s">
        <v>132</v>
      </c>
      <c r="L397" s="75"/>
      <c r="V397" s="4"/>
    </row>
    <row r="398" spans="1:22" s="3" customFormat="1" ht="25.5">
      <c r="A398" s="55">
        <v>90043</v>
      </c>
      <c r="B398" s="58" t="s">
        <v>446</v>
      </c>
      <c r="C398" s="58" t="s">
        <v>431</v>
      </c>
      <c r="D398" s="58" t="s">
        <v>437</v>
      </c>
      <c r="E398" s="58" t="s">
        <v>447</v>
      </c>
      <c r="F398" s="63">
        <v>1.03</v>
      </c>
      <c r="G398" s="58">
        <v>203</v>
      </c>
      <c r="H398" s="59">
        <f t="shared" si="17"/>
        <v>209.09</v>
      </c>
      <c r="I398" s="68">
        <v>0.098</v>
      </c>
      <c r="J398" s="68">
        <f t="shared" si="18"/>
        <v>19.894000000000002</v>
      </c>
      <c r="K398" s="62" t="s">
        <v>132</v>
      </c>
      <c r="L398" s="75"/>
      <c r="V398" s="4"/>
    </row>
    <row r="399" spans="1:22" s="3" customFormat="1" ht="25.5">
      <c r="A399" s="55">
        <v>90044</v>
      </c>
      <c r="B399" s="58" t="s">
        <v>448</v>
      </c>
      <c r="C399" s="58" t="s">
        <v>431</v>
      </c>
      <c r="D399" s="58" t="s">
        <v>437</v>
      </c>
      <c r="E399" s="58" t="s">
        <v>447</v>
      </c>
      <c r="F399" s="63">
        <v>1.03</v>
      </c>
      <c r="G399" s="58">
        <f>160+92+64</f>
        <v>316</v>
      </c>
      <c r="H399" s="59">
        <f t="shared" si="17"/>
        <v>325.48</v>
      </c>
      <c r="I399" s="68">
        <v>0.098</v>
      </c>
      <c r="J399" s="68">
        <f t="shared" si="18"/>
        <v>30.968</v>
      </c>
      <c r="K399" s="62" t="s">
        <v>132</v>
      </c>
      <c r="L399" s="75"/>
      <c r="V399" s="4"/>
    </row>
    <row r="400" spans="1:22" s="3" customFormat="1" ht="25.5">
      <c r="A400" s="55">
        <v>90045</v>
      </c>
      <c r="B400" s="58" t="s">
        <v>449</v>
      </c>
      <c r="C400" s="58" t="s">
        <v>431</v>
      </c>
      <c r="D400" s="58" t="s">
        <v>437</v>
      </c>
      <c r="E400" s="58" t="s">
        <v>447</v>
      </c>
      <c r="F400" s="63">
        <v>1.03</v>
      </c>
      <c r="G400" s="58">
        <f>70+100+70+70+34</f>
        <v>344</v>
      </c>
      <c r="H400" s="59">
        <f t="shared" si="17"/>
        <v>354.32</v>
      </c>
      <c r="I400" s="68">
        <v>0.098</v>
      </c>
      <c r="J400" s="68">
        <f t="shared" si="18"/>
        <v>33.712</v>
      </c>
      <c r="K400" s="62" t="s">
        <v>132</v>
      </c>
      <c r="L400" s="75"/>
      <c r="V400" s="4"/>
    </row>
    <row r="401" spans="1:22" s="3" customFormat="1" ht="25.5">
      <c r="A401" s="55">
        <v>90047</v>
      </c>
      <c r="B401" s="58" t="s">
        <v>450</v>
      </c>
      <c r="C401" s="58" t="s">
        <v>431</v>
      </c>
      <c r="D401" s="58" t="s">
        <v>437</v>
      </c>
      <c r="E401" s="58" t="s">
        <v>447</v>
      </c>
      <c r="F401" s="63">
        <v>1.89</v>
      </c>
      <c r="G401" s="58">
        <f>127+140+94</f>
        <v>361</v>
      </c>
      <c r="H401" s="59">
        <f t="shared" si="17"/>
        <v>682.29</v>
      </c>
      <c r="I401" s="68">
        <v>0.182</v>
      </c>
      <c r="J401" s="68">
        <f t="shared" si="18"/>
        <v>65.702</v>
      </c>
      <c r="K401" s="62" t="s">
        <v>132</v>
      </c>
      <c r="L401" s="75"/>
      <c r="V401" s="4"/>
    </row>
    <row r="402" spans="1:22" s="3" customFormat="1" ht="25.5">
      <c r="A402" s="55">
        <v>90050</v>
      </c>
      <c r="B402" s="58" t="s">
        <v>451</v>
      </c>
      <c r="C402" s="58" t="s">
        <v>431</v>
      </c>
      <c r="D402" s="58" t="s">
        <v>437</v>
      </c>
      <c r="E402" s="58" t="s">
        <v>452</v>
      </c>
      <c r="F402" s="63">
        <v>1.96</v>
      </c>
      <c r="G402" s="58">
        <f>100+100</f>
        <v>200</v>
      </c>
      <c r="H402" s="59">
        <f t="shared" si="17"/>
        <v>392</v>
      </c>
      <c r="I402" s="68">
        <v>0.196</v>
      </c>
      <c r="J402" s="68">
        <f t="shared" si="18"/>
        <v>39.2</v>
      </c>
      <c r="K402" s="62" t="s">
        <v>132</v>
      </c>
      <c r="L402" s="75"/>
      <c r="V402" s="4"/>
    </row>
    <row r="403" spans="1:22" s="3" customFormat="1" ht="25.5">
      <c r="A403" s="55">
        <v>90051</v>
      </c>
      <c r="B403" s="58" t="s">
        <v>453</v>
      </c>
      <c r="C403" s="58" t="s">
        <v>431</v>
      </c>
      <c r="D403" s="58" t="s">
        <v>437</v>
      </c>
      <c r="E403" s="58" t="s">
        <v>452</v>
      </c>
      <c r="F403" s="63">
        <v>1.96</v>
      </c>
      <c r="G403" s="58">
        <f>100</f>
        <v>100</v>
      </c>
      <c r="H403" s="59">
        <f t="shared" si="17"/>
        <v>196</v>
      </c>
      <c r="I403" s="68">
        <v>0.196</v>
      </c>
      <c r="J403" s="68">
        <f t="shared" si="18"/>
        <v>19.6</v>
      </c>
      <c r="K403" s="62" t="s">
        <v>132</v>
      </c>
      <c r="L403" s="75"/>
      <c r="V403" s="4"/>
    </row>
    <row r="404" spans="1:22" s="3" customFormat="1" ht="25.5">
      <c r="A404" s="55">
        <v>90052</v>
      </c>
      <c r="B404" s="58" t="s">
        <v>454</v>
      </c>
      <c r="C404" s="58" t="s">
        <v>431</v>
      </c>
      <c r="D404" s="58" t="s">
        <v>437</v>
      </c>
      <c r="E404" s="58" t="s">
        <v>452</v>
      </c>
      <c r="F404" s="63">
        <v>1.96</v>
      </c>
      <c r="G404" s="58">
        <v>664</v>
      </c>
      <c r="H404" s="59">
        <f t="shared" si="17"/>
        <v>1301.44</v>
      </c>
      <c r="I404" s="68">
        <v>0.196</v>
      </c>
      <c r="J404" s="68">
        <f t="shared" si="18"/>
        <v>130.144</v>
      </c>
      <c r="K404" s="62" t="s">
        <v>132</v>
      </c>
      <c r="L404" s="75"/>
      <c r="V404" s="4"/>
    </row>
    <row r="405" spans="1:22" s="3" customFormat="1" ht="25.5">
      <c r="A405" s="55">
        <v>90053</v>
      </c>
      <c r="B405" s="58" t="s">
        <v>455</v>
      </c>
      <c r="C405" s="58" t="s">
        <v>431</v>
      </c>
      <c r="D405" s="58" t="s">
        <v>437</v>
      </c>
      <c r="E405" s="58" t="s">
        <v>452</v>
      </c>
      <c r="F405" s="63">
        <v>1.96</v>
      </c>
      <c r="G405" s="58">
        <f>100+100</f>
        <v>200</v>
      </c>
      <c r="H405" s="59">
        <f t="shared" si="17"/>
        <v>392</v>
      </c>
      <c r="I405" s="68">
        <v>0.196</v>
      </c>
      <c r="J405" s="68">
        <f t="shared" si="18"/>
        <v>39.2</v>
      </c>
      <c r="K405" s="62" t="s">
        <v>132</v>
      </c>
      <c r="L405" s="75"/>
      <c r="V405" s="4"/>
    </row>
    <row r="406" spans="1:22" s="3" customFormat="1" ht="25.5">
      <c r="A406" s="55">
        <v>90054</v>
      </c>
      <c r="B406" s="58" t="s">
        <v>456</v>
      </c>
      <c r="C406" s="58" t="s">
        <v>431</v>
      </c>
      <c r="D406" s="58" t="s">
        <v>437</v>
      </c>
      <c r="E406" s="58" t="s">
        <v>452</v>
      </c>
      <c r="F406" s="63">
        <v>1.96</v>
      </c>
      <c r="G406" s="58">
        <f>100+96+100</f>
        <v>296</v>
      </c>
      <c r="H406" s="59">
        <f t="shared" si="17"/>
        <v>580.16</v>
      </c>
      <c r="I406" s="68">
        <v>0.196</v>
      </c>
      <c r="J406" s="68">
        <f t="shared" si="18"/>
        <v>58.016000000000005</v>
      </c>
      <c r="K406" s="62" t="s">
        <v>132</v>
      </c>
      <c r="L406" s="75"/>
      <c r="V406" s="4"/>
    </row>
    <row r="407" spans="1:22" s="3" customFormat="1" ht="12.75">
      <c r="A407" s="55">
        <v>90059</v>
      </c>
      <c r="B407" s="58" t="s">
        <v>457</v>
      </c>
      <c r="C407" s="58" t="s">
        <v>431</v>
      </c>
      <c r="D407" s="58" t="s">
        <v>432</v>
      </c>
      <c r="E407" s="58" t="s">
        <v>458</v>
      </c>
      <c r="F407" s="63">
        <v>6</v>
      </c>
      <c r="G407" s="58">
        <f>37</f>
        <v>37</v>
      </c>
      <c r="H407" s="59">
        <f t="shared" si="17"/>
        <v>222</v>
      </c>
      <c r="I407" s="68">
        <v>0.5880000000000001</v>
      </c>
      <c r="J407" s="68">
        <f t="shared" si="18"/>
        <v>21.756000000000004</v>
      </c>
      <c r="K407" s="62" t="s">
        <v>132</v>
      </c>
      <c r="L407" s="75"/>
      <c r="V407" s="4"/>
    </row>
    <row r="408" spans="1:22" s="3" customFormat="1" ht="25.5">
      <c r="A408" s="55">
        <v>90079</v>
      </c>
      <c r="B408" s="58" t="s">
        <v>459</v>
      </c>
      <c r="C408" s="58" t="s">
        <v>431</v>
      </c>
      <c r="D408" s="58" t="s">
        <v>444</v>
      </c>
      <c r="E408" s="58" t="s">
        <v>460</v>
      </c>
      <c r="F408" s="63">
        <v>1.96</v>
      </c>
      <c r="G408" s="58">
        <f>48</f>
        <v>48</v>
      </c>
      <c r="H408" s="59">
        <f t="shared" si="17"/>
        <v>94.08</v>
      </c>
      <c r="I408" s="68">
        <v>0.196</v>
      </c>
      <c r="J408" s="68">
        <f t="shared" si="18"/>
        <v>9.408000000000001</v>
      </c>
      <c r="K408" s="62" t="s">
        <v>132</v>
      </c>
      <c r="L408" s="75"/>
      <c r="V408" s="4"/>
    </row>
    <row r="409" spans="1:22" s="3" customFormat="1" ht="12.75">
      <c r="A409" s="55">
        <v>90083</v>
      </c>
      <c r="B409" s="58" t="s">
        <v>461</v>
      </c>
      <c r="C409" s="58" t="s">
        <v>431</v>
      </c>
      <c r="D409" s="58" t="s">
        <v>462</v>
      </c>
      <c r="E409" s="58" t="s">
        <v>463</v>
      </c>
      <c r="F409" s="63">
        <v>2.3</v>
      </c>
      <c r="G409" s="58">
        <v>75</v>
      </c>
      <c r="H409" s="59">
        <f t="shared" si="17"/>
        <v>172.5</v>
      </c>
      <c r="I409" s="68">
        <v>0.22400000000000003</v>
      </c>
      <c r="J409" s="68">
        <f t="shared" si="18"/>
        <v>16.8</v>
      </c>
      <c r="K409" s="62" t="s">
        <v>132</v>
      </c>
      <c r="L409" s="75"/>
      <c r="V409" s="4"/>
    </row>
    <row r="410" spans="1:22" s="3" customFormat="1" ht="25.5">
      <c r="A410" s="55">
        <v>90085</v>
      </c>
      <c r="B410" s="58" t="s">
        <v>464</v>
      </c>
      <c r="C410" s="58" t="s">
        <v>431</v>
      </c>
      <c r="D410" s="58" t="s">
        <v>444</v>
      </c>
      <c r="E410" s="58" t="s">
        <v>465</v>
      </c>
      <c r="F410" s="63">
        <v>45</v>
      </c>
      <c r="G410" s="58">
        <f>10-1-9</f>
        <v>0</v>
      </c>
      <c r="H410" s="59">
        <f t="shared" si="17"/>
        <v>0</v>
      </c>
      <c r="I410" s="68">
        <v>3.668</v>
      </c>
      <c r="J410" s="68">
        <f t="shared" si="18"/>
        <v>0</v>
      </c>
      <c r="K410" s="62" t="s">
        <v>132</v>
      </c>
      <c r="L410" s="75"/>
      <c r="V410" s="4"/>
    </row>
    <row r="411" spans="1:22" s="3" customFormat="1" ht="25.5">
      <c r="A411" s="55">
        <v>90092</v>
      </c>
      <c r="B411" s="58" t="s">
        <v>466</v>
      </c>
      <c r="C411" s="58" t="s">
        <v>431</v>
      </c>
      <c r="D411" s="58" t="s">
        <v>432</v>
      </c>
      <c r="E411" s="58" t="s">
        <v>467</v>
      </c>
      <c r="F411" s="63">
        <v>7.1</v>
      </c>
      <c r="G411" s="58">
        <f>37</f>
        <v>37</v>
      </c>
      <c r="H411" s="59">
        <f t="shared" si="17"/>
        <v>262.7</v>
      </c>
      <c r="I411" s="68">
        <v>0.6719999999999999</v>
      </c>
      <c r="J411" s="68">
        <f t="shared" si="18"/>
        <v>24.863999999999997</v>
      </c>
      <c r="K411" s="62" t="s">
        <v>132</v>
      </c>
      <c r="L411" s="75"/>
      <c r="V411" s="4"/>
    </row>
    <row r="412" spans="1:22" s="3" customFormat="1" ht="25.5">
      <c r="A412" s="55">
        <v>90094</v>
      </c>
      <c r="B412" s="58" t="s">
        <v>468</v>
      </c>
      <c r="C412" s="58" t="s">
        <v>431</v>
      </c>
      <c r="D412" s="58" t="s">
        <v>432</v>
      </c>
      <c r="E412" s="58" t="s">
        <v>467</v>
      </c>
      <c r="F412" s="63">
        <v>6.45</v>
      </c>
      <c r="G412" s="58">
        <f>18</f>
        <v>18</v>
      </c>
      <c r="H412" s="59">
        <f t="shared" si="17"/>
        <v>116.10000000000001</v>
      </c>
      <c r="I412" s="68">
        <v>0.6439999999999999</v>
      </c>
      <c r="J412" s="68">
        <f t="shared" si="18"/>
        <v>11.591999999999999</v>
      </c>
      <c r="K412" s="62" t="s">
        <v>132</v>
      </c>
      <c r="L412" s="75"/>
      <c r="V412" s="4"/>
    </row>
    <row r="413" spans="1:22" s="3" customFormat="1" ht="25.5">
      <c r="A413" s="55">
        <v>90098</v>
      </c>
      <c r="B413" s="58" t="s">
        <v>469</v>
      </c>
      <c r="C413" s="58" t="s">
        <v>431</v>
      </c>
      <c r="D413" s="58" t="s">
        <v>444</v>
      </c>
      <c r="E413" s="58" t="s">
        <v>470</v>
      </c>
      <c r="F413" s="63">
        <v>20.2</v>
      </c>
      <c r="G413" s="58">
        <f>7+6+5</f>
        <v>18</v>
      </c>
      <c r="H413" s="59">
        <f t="shared" si="17"/>
        <v>363.59999999999997</v>
      </c>
      <c r="I413" s="68">
        <v>1.904</v>
      </c>
      <c r="J413" s="68">
        <f t="shared" si="18"/>
        <v>34.272</v>
      </c>
      <c r="K413" s="62" t="s">
        <v>132</v>
      </c>
      <c r="L413" s="75"/>
      <c r="V413" s="4"/>
    </row>
    <row r="414" spans="1:22" s="3" customFormat="1" ht="12.75">
      <c r="A414" s="55">
        <v>90128</v>
      </c>
      <c r="B414" s="58" t="s">
        <v>471</v>
      </c>
      <c r="C414" s="58" t="s">
        <v>472</v>
      </c>
      <c r="D414" s="58" t="s">
        <v>473</v>
      </c>
      <c r="E414" s="58" t="s">
        <v>474</v>
      </c>
      <c r="F414" s="63">
        <v>86</v>
      </c>
      <c r="G414" s="58">
        <f>1</f>
        <v>1</v>
      </c>
      <c r="H414" s="59">
        <f t="shared" si="17"/>
        <v>86</v>
      </c>
      <c r="I414" s="68">
        <v>6.72</v>
      </c>
      <c r="J414" s="68">
        <f t="shared" si="18"/>
        <v>6.72</v>
      </c>
      <c r="K414" s="62" t="s">
        <v>132</v>
      </c>
      <c r="L414" s="75"/>
      <c r="V414" s="4"/>
    </row>
    <row r="415" spans="1:22" s="3" customFormat="1" ht="12.75">
      <c r="A415" s="55">
        <v>90130</v>
      </c>
      <c r="B415" s="58" t="s">
        <v>475</v>
      </c>
      <c r="C415" s="58" t="s">
        <v>472</v>
      </c>
      <c r="D415" s="58" t="s">
        <v>473</v>
      </c>
      <c r="E415" s="58" t="s">
        <v>476</v>
      </c>
      <c r="F415" s="63">
        <v>63</v>
      </c>
      <c r="G415" s="58">
        <f>9</f>
        <v>9</v>
      </c>
      <c r="H415" s="59">
        <f t="shared" si="17"/>
        <v>567</v>
      </c>
      <c r="I415" s="68">
        <v>5.32</v>
      </c>
      <c r="J415" s="68">
        <f t="shared" si="18"/>
        <v>47.88</v>
      </c>
      <c r="K415" s="62" t="s">
        <v>132</v>
      </c>
      <c r="L415" s="75"/>
      <c r="V415" s="4"/>
    </row>
    <row r="416" spans="1:22" s="3" customFormat="1" ht="12.75">
      <c r="A416" s="55">
        <v>90132</v>
      </c>
      <c r="B416" s="58" t="s">
        <v>477</v>
      </c>
      <c r="C416" s="58" t="s">
        <v>472</v>
      </c>
      <c r="D416" s="58" t="s">
        <v>473</v>
      </c>
      <c r="E416" s="58" t="s">
        <v>478</v>
      </c>
      <c r="F416" s="63">
        <v>38</v>
      </c>
      <c r="G416" s="58">
        <f>18</f>
        <v>18</v>
      </c>
      <c r="H416" s="59">
        <f t="shared" si="17"/>
        <v>684</v>
      </c>
      <c r="I416" s="62">
        <v>3.3879999999999995</v>
      </c>
      <c r="J416" s="68">
        <f t="shared" si="18"/>
        <v>60.98399999999999</v>
      </c>
      <c r="K416" s="62"/>
      <c r="L416" s="75"/>
      <c r="V416" s="4"/>
    </row>
    <row r="417" spans="1:22" s="3" customFormat="1" ht="12.75">
      <c r="A417" s="55">
        <v>90136</v>
      </c>
      <c r="B417" s="58" t="s">
        <v>479</v>
      </c>
      <c r="C417" s="58" t="s">
        <v>472</v>
      </c>
      <c r="D417" s="58" t="s">
        <v>473</v>
      </c>
      <c r="E417" s="58" t="s">
        <v>476</v>
      </c>
      <c r="F417" s="63">
        <v>62</v>
      </c>
      <c r="G417" s="58">
        <f>6</f>
        <v>6</v>
      </c>
      <c r="H417" s="59">
        <f t="shared" si="17"/>
        <v>372</v>
      </c>
      <c r="I417" s="68">
        <v>5.18</v>
      </c>
      <c r="J417" s="68">
        <f t="shared" si="18"/>
        <v>31.08</v>
      </c>
      <c r="K417" s="62"/>
      <c r="L417" s="75"/>
      <c r="V417" s="4"/>
    </row>
    <row r="418" spans="1:22" s="3" customFormat="1" ht="12.75">
      <c r="A418" s="55">
        <v>90137</v>
      </c>
      <c r="B418" s="58" t="s">
        <v>480</v>
      </c>
      <c r="C418" s="58" t="s">
        <v>472</v>
      </c>
      <c r="D418" s="58" t="s">
        <v>473</v>
      </c>
      <c r="E418" s="58" t="s">
        <v>474</v>
      </c>
      <c r="F418" s="63">
        <v>24</v>
      </c>
      <c r="G418" s="58">
        <f>5</f>
        <v>5</v>
      </c>
      <c r="H418" s="59">
        <f t="shared" si="17"/>
        <v>120</v>
      </c>
      <c r="I418" s="68">
        <v>2.38</v>
      </c>
      <c r="J418" s="68">
        <f t="shared" si="18"/>
        <v>11.899999999999999</v>
      </c>
      <c r="K418" s="62" t="s">
        <v>132</v>
      </c>
      <c r="L418" s="75"/>
      <c r="V418" s="4"/>
    </row>
    <row r="419" spans="1:22" s="3" customFormat="1" ht="12.75">
      <c r="A419" s="55">
        <v>90149</v>
      </c>
      <c r="B419" s="58" t="s">
        <v>481</v>
      </c>
      <c r="C419" s="58" t="s">
        <v>431</v>
      </c>
      <c r="D419" s="58" t="s">
        <v>432</v>
      </c>
      <c r="E419" s="58" t="s">
        <v>482</v>
      </c>
      <c r="F419" s="63">
        <v>6</v>
      </c>
      <c r="G419" s="58">
        <f>35</f>
        <v>35</v>
      </c>
      <c r="H419" s="59">
        <f t="shared" si="17"/>
        <v>210</v>
      </c>
      <c r="I419" s="68">
        <v>0.5880000000000001</v>
      </c>
      <c r="J419" s="68">
        <f t="shared" si="18"/>
        <v>20.580000000000002</v>
      </c>
      <c r="K419" s="62" t="s">
        <v>132</v>
      </c>
      <c r="L419" s="75"/>
      <c r="V419" s="4"/>
    </row>
    <row r="420" spans="1:22" s="3" customFormat="1" ht="12.75">
      <c r="A420" s="55">
        <v>90150</v>
      </c>
      <c r="B420" s="58" t="s">
        <v>483</v>
      </c>
      <c r="C420" s="58" t="s">
        <v>431</v>
      </c>
      <c r="D420" s="58" t="s">
        <v>432</v>
      </c>
      <c r="E420" s="58" t="s">
        <v>482</v>
      </c>
      <c r="F420" s="63">
        <v>6</v>
      </c>
      <c r="G420" s="58">
        <v>20</v>
      </c>
      <c r="H420" s="59">
        <f t="shared" si="17"/>
        <v>120</v>
      </c>
      <c r="I420" s="68">
        <v>0.5880000000000001</v>
      </c>
      <c r="J420" s="68">
        <f t="shared" si="18"/>
        <v>11.760000000000002</v>
      </c>
      <c r="K420" s="62" t="s">
        <v>132</v>
      </c>
      <c r="L420" s="75"/>
      <c r="V420" s="4"/>
    </row>
    <row r="421" spans="1:22" s="3" customFormat="1" ht="12.75">
      <c r="A421" s="55">
        <v>90151</v>
      </c>
      <c r="B421" s="58" t="s">
        <v>484</v>
      </c>
      <c r="C421" s="58" t="s">
        <v>472</v>
      </c>
      <c r="D421" s="58" t="s">
        <v>473</v>
      </c>
      <c r="E421" s="58" t="s">
        <v>474</v>
      </c>
      <c r="F421" s="63">
        <v>16.9</v>
      </c>
      <c r="G421" s="58">
        <f>35</f>
        <v>35</v>
      </c>
      <c r="H421" s="59">
        <f t="shared" si="17"/>
        <v>591.5</v>
      </c>
      <c r="I421" s="68">
        <v>1.6239999999999999</v>
      </c>
      <c r="J421" s="68">
        <f t="shared" si="18"/>
        <v>56.839999999999996</v>
      </c>
      <c r="K421" s="62" t="s">
        <v>132</v>
      </c>
      <c r="L421" s="75"/>
      <c r="V421" s="4"/>
    </row>
    <row r="422" spans="1:22" s="3" customFormat="1" ht="12.75">
      <c r="A422" s="55">
        <v>90208</v>
      </c>
      <c r="B422" s="58" t="s">
        <v>485</v>
      </c>
      <c r="C422" s="58" t="s">
        <v>472</v>
      </c>
      <c r="D422" s="58" t="s">
        <v>486</v>
      </c>
      <c r="E422" s="58" t="s">
        <v>487</v>
      </c>
      <c r="F422" s="63">
        <v>3.9</v>
      </c>
      <c r="G422" s="58">
        <f>45</f>
        <v>45</v>
      </c>
      <c r="H422" s="59">
        <f t="shared" si="17"/>
        <v>175.5</v>
      </c>
      <c r="I422" s="68">
        <v>0.364</v>
      </c>
      <c r="J422" s="68">
        <f t="shared" si="18"/>
        <v>16.38</v>
      </c>
      <c r="K422" s="62" t="s">
        <v>132</v>
      </c>
      <c r="L422" s="75"/>
      <c r="V422" s="4"/>
    </row>
    <row r="423" spans="1:22" s="3" customFormat="1" ht="12.75">
      <c r="A423" s="55">
        <v>90209</v>
      </c>
      <c r="B423" s="58" t="s">
        <v>488</v>
      </c>
      <c r="C423" s="58" t="s">
        <v>472</v>
      </c>
      <c r="D423" s="58" t="s">
        <v>486</v>
      </c>
      <c r="E423" s="58" t="s">
        <v>487</v>
      </c>
      <c r="F423" s="63">
        <v>8.2</v>
      </c>
      <c r="G423" s="58">
        <f>87</f>
        <v>87</v>
      </c>
      <c r="H423" s="59">
        <f t="shared" si="17"/>
        <v>713.4</v>
      </c>
      <c r="I423" s="68">
        <v>0.784</v>
      </c>
      <c r="J423" s="68">
        <f t="shared" si="18"/>
        <v>68.208</v>
      </c>
      <c r="K423" s="62" t="s">
        <v>132</v>
      </c>
      <c r="L423" s="75"/>
      <c r="V423" s="4"/>
    </row>
    <row r="424" spans="1:22" s="3" customFormat="1" ht="38.25">
      <c r="A424" s="55">
        <v>90240</v>
      </c>
      <c r="B424" s="58" t="s">
        <v>489</v>
      </c>
      <c r="C424" s="58" t="s">
        <v>490</v>
      </c>
      <c r="D424" s="58" t="s">
        <v>491</v>
      </c>
      <c r="E424" s="58" t="s">
        <v>492</v>
      </c>
      <c r="F424" s="63">
        <v>18</v>
      </c>
      <c r="G424" s="58">
        <f>24+60</f>
        <v>84</v>
      </c>
      <c r="H424" s="59">
        <f t="shared" si="17"/>
        <v>1512</v>
      </c>
      <c r="I424" s="68">
        <v>1.7079999999999997</v>
      </c>
      <c r="J424" s="68">
        <f t="shared" si="18"/>
        <v>143.47199999999998</v>
      </c>
      <c r="K424" s="62" t="s">
        <v>132</v>
      </c>
      <c r="L424" s="75"/>
      <c r="V424" s="4"/>
    </row>
    <row r="425" spans="1:22" s="3" customFormat="1" ht="38.25">
      <c r="A425" s="55">
        <v>90241</v>
      </c>
      <c r="B425" s="58" t="s">
        <v>493</v>
      </c>
      <c r="C425" s="58" t="s">
        <v>490</v>
      </c>
      <c r="D425" s="58" t="s">
        <v>491</v>
      </c>
      <c r="E425" s="58" t="s">
        <v>492</v>
      </c>
      <c r="F425" s="63">
        <v>35</v>
      </c>
      <c r="G425" s="58">
        <f>56</f>
        <v>56</v>
      </c>
      <c r="H425" s="59">
        <f t="shared" si="17"/>
        <v>1960</v>
      </c>
      <c r="I425" s="68">
        <v>3.22</v>
      </c>
      <c r="J425" s="68">
        <f t="shared" si="18"/>
        <v>180.32000000000002</v>
      </c>
      <c r="K425" s="62" t="s">
        <v>132</v>
      </c>
      <c r="L425" s="75"/>
      <c r="V425" s="4"/>
    </row>
    <row r="426" spans="1:22" s="3" customFormat="1" ht="12.75">
      <c r="A426" s="55">
        <v>90242</v>
      </c>
      <c r="B426" s="58" t="s">
        <v>494</v>
      </c>
      <c r="C426" s="58" t="s">
        <v>472</v>
      </c>
      <c r="D426" s="58" t="s">
        <v>473</v>
      </c>
      <c r="E426" s="58" t="s">
        <v>474</v>
      </c>
      <c r="F426" s="63">
        <v>17</v>
      </c>
      <c r="G426" s="58">
        <v>106</v>
      </c>
      <c r="H426" s="59">
        <f t="shared" si="17"/>
        <v>1802</v>
      </c>
      <c r="I426" s="68">
        <v>1.568</v>
      </c>
      <c r="J426" s="68">
        <f t="shared" si="18"/>
        <v>166.208</v>
      </c>
      <c r="K426" s="62" t="s">
        <v>132</v>
      </c>
      <c r="L426" s="75"/>
      <c r="V426" s="4"/>
    </row>
    <row r="427" spans="1:22" s="3" customFormat="1" ht="25.5">
      <c r="A427" s="55">
        <v>90257</v>
      </c>
      <c r="B427" s="58" t="s">
        <v>495</v>
      </c>
      <c r="C427" s="58" t="s">
        <v>431</v>
      </c>
      <c r="D427" s="58" t="s">
        <v>432</v>
      </c>
      <c r="E427" s="58" t="s">
        <v>467</v>
      </c>
      <c r="F427" s="63">
        <v>7.75</v>
      </c>
      <c r="G427" s="58">
        <f>21</f>
        <v>21</v>
      </c>
      <c r="H427" s="59">
        <f t="shared" si="17"/>
        <v>162.75</v>
      </c>
      <c r="I427" s="68">
        <v>0.616</v>
      </c>
      <c r="J427" s="68">
        <f t="shared" si="18"/>
        <v>12.936</v>
      </c>
      <c r="K427" s="62" t="s">
        <v>132</v>
      </c>
      <c r="L427" s="75"/>
      <c r="V427" s="4"/>
    </row>
    <row r="428" spans="1:22" s="3" customFormat="1" ht="25.5">
      <c r="A428" s="55">
        <v>90258</v>
      </c>
      <c r="B428" s="58" t="s">
        <v>496</v>
      </c>
      <c r="C428" s="58" t="s">
        <v>431</v>
      </c>
      <c r="D428" s="58" t="s">
        <v>432</v>
      </c>
      <c r="E428" s="58" t="s">
        <v>467</v>
      </c>
      <c r="F428" s="63">
        <v>6.4</v>
      </c>
      <c r="G428" s="58">
        <f>58</f>
        <v>58</v>
      </c>
      <c r="H428" s="59">
        <f t="shared" si="17"/>
        <v>371.20000000000005</v>
      </c>
      <c r="I428" s="68">
        <v>0.5880000000000001</v>
      </c>
      <c r="J428" s="68">
        <f t="shared" si="18"/>
        <v>34.104000000000006</v>
      </c>
      <c r="K428" s="62" t="s">
        <v>132</v>
      </c>
      <c r="L428" s="75"/>
      <c r="V428" s="4"/>
    </row>
    <row r="429" spans="1:22" s="3" customFormat="1" ht="12.75">
      <c r="A429" s="55">
        <v>90272</v>
      </c>
      <c r="B429" s="58" t="s">
        <v>497</v>
      </c>
      <c r="C429" s="58" t="s">
        <v>472</v>
      </c>
      <c r="D429" s="58" t="s">
        <v>473</v>
      </c>
      <c r="E429" s="58" t="s">
        <v>474</v>
      </c>
      <c r="F429" s="63">
        <v>16.9</v>
      </c>
      <c r="G429" s="58">
        <v>40</v>
      </c>
      <c r="H429" s="59">
        <f t="shared" si="17"/>
        <v>676</v>
      </c>
      <c r="I429" s="68">
        <v>1.6239999999999999</v>
      </c>
      <c r="J429" s="68">
        <f t="shared" si="18"/>
        <v>64.96</v>
      </c>
      <c r="K429" s="62" t="s">
        <v>132</v>
      </c>
      <c r="L429" s="75"/>
      <c r="V429" s="4"/>
    </row>
    <row r="430" spans="1:22" s="3" customFormat="1" ht="12.75">
      <c r="A430" s="55">
        <v>90273</v>
      </c>
      <c r="B430" s="58" t="s">
        <v>498</v>
      </c>
      <c r="C430" s="58" t="s">
        <v>472</v>
      </c>
      <c r="D430" s="58" t="s">
        <v>473</v>
      </c>
      <c r="E430" s="58" t="s">
        <v>474</v>
      </c>
      <c r="F430" s="63">
        <v>16.9</v>
      </c>
      <c r="G430" s="58">
        <f>50</f>
        <v>50</v>
      </c>
      <c r="H430" s="59">
        <f t="shared" si="17"/>
        <v>844.9999999999999</v>
      </c>
      <c r="I430" s="68">
        <v>1.6239999999999999</v>
      </c>
      <c r="J430" s="68">
        <f t="shared" si="18"/>
        <v>81.19999999999999</v>
      </c>
      <c r="K430" s="62" t="s">
        <v>132</v>
      </c>
      <c r="L430" s="75"/>
      <c r="V430" s="4"/>
    </row>
    <row r="431" spans="1:22" s="3" customFormat="1" ht="12.75">
      <c r="A431" s="55">
        <v>90276</v>
      </c>
      <c r="B431" s="58" t="s">
        <v>499</v>
      </c>
      <c r="C431" s="58" t="s">
        <v>500</v>
      </c>
      <c r="D431" s="58" t="s">
        <v>501</v>
      </c>
      <c r="E431" s="58" t="s">
        <v>502</v>
      </c>
      <c r="F431" s="63">
        <v>52.25</v>
      </c>
      <c r="G431" s="58">
        <v>1</v>
      </c>
      <c r="H431" s="59">
        <f t="shared" si="17"/>
        <v>52.25</v>
      </c>
      <c r="I431" s="68">
        <v>4.9</v>
      </c>
      <c r="J431" s="68">
        <f t="shared" si="18"/>
        <v>4.9</v>
      </c>
      <c r="K431" s="62" t="s">
        <v>132</v>
      </c>
      <c r="L431" s="75"/>
      <c r="V431" s="4"/>
    </row>
    <row r="432" spans="1:22" s="3" customFormat="1" ht="38.25">
      <c r="A432" s="55">
        <v>90286</v>
      </c>
      <c r="B432" s="58" t="s">
        <v>503</v>
      </c>
      <c r="C432" s="58" t="s">
        <v>500</v>
      </c>
      <c r="D432" s="58" t="s">
        <v>501</v>
      </c>
      <c r="E432" s="58" t="s">
        <v>502</v>
      </c>
      <c r="F432" s="63">
        <v>24.75</v>
      </c>
      <c r="G432" s="58">
        <f>9</f>
        <v>9</v>
      </c>
      <c r="H432" s="59">
        <f t="shared" si="17"/>
        <v>222.75</v>
      </c>
      <c r="I432" s="68">
        <v>2.38</v>
      </c>
      <c r="J432" s="68">
        <f t="shared" si="18"/>
        <v>21.419999999999998</v>
      </c>
      <c r="K432" s="62" t="s">
        <v>132</v>
      </c>
      <c r="L432" s="75"/>
      <c r="V432" s="4"/>
    </row>
    <row r="433" spans="1:22" s="3" customFormat="1" ht="12.75">
      <c r="A433" s="55">
        <v>90287</v>
      </c>
      <c r="B433" s="58" t="s">
        <v>504</v>
      </c>
      <c r="C433" s="58" t="s">
        <v>500</v>
      </c>
      <c r="D433" s="58" t="s">
        <v>501</v>
      </c>
      <c r="E433" s="58" t="s">
        <v>502</v>
      </c>
      <c r="F433" s="63">
        <v>30.25</v>
      </c>
      <c r="G433" s="58">
        <f>16</f>
        <v>16</v>
      </c>
      <c r="H433" s="59">
        <f t="shared" si="17"/>
        <v>484</v>
      </c>
      <c r="I433" s="68">
        <v>0.42</v>
      </c>
      <c r="J433" s="68">
        <f t="shared" si="18"/>
        <v>6.72</v>
      </c>
      <c r="K433" s="62" t="s">
        <v>132</v>
      </c>
      <c r="L433" s="75"/>
      <c r="V433" s="4"/>
    </row>
    <row r="434" spans="1:22" s="3" customFormat="1" ht="12.75">
      <c r="A434" s="55">
        <v>90310</v>
      </c>
      <c r="B434" s="58" t="s">
        <v>505</v>
      </c>
      <c r="C434" s="58" t="s">
        <v>500</v>
      </c>
      <c r="D434" s="58" t="s">
        <v>501</v>
      </c>
      <c r="E434" s="58" t="s">
        <v>502</v>
      </c>
      <c r="F434" s="63">
        <v>29</v>
      </c>
      <c r="G434" s="58">
        <f>38-20-12</f>
        <v>6</v>
      </c>
      <c r="H434" s="59">
        <f t="shared" si="17"/>
        <v>174</v>
      </c>
      <c r="I434" s="68">
        <v>2.7960000000000003</v>
      </c>
      <c r="J434" s="68">
        <f t="shared" si="18"/>
        <v>16.776000000000003</v>
      </c>
      <c r="K434" s="62" t="s">
        <v>132</v>
      </c>
      <c r="L434" s="75"/>
      <c r="V434" s="4"/>
    </row>
    <row r="435" spans="1:22" s="3" customFormat="1" ht="12.75">
      <c r="A435" s="55">
        <v>90316</v>
      </c>
      <c r="B435" s="58" t="s">
        <v>506</v>
      </c>
      <c r="C435" s="58" t="s">
        <v>500</v>
      </c>
      <c r="D435" s="58" t="s">
        <v>501</v>
      </c>
      <c r="E435" s="58" t="s">
        <v>507</v>
      </c>
      <c r="F435" s="63">
        <v>33.5</v>
      </c>
      <c r="G435" s="58">
        <f>12-12</f>
        <v>0</v>
      </c>
      <c r="H435" s="59">
        <f t="shared" si="17"/>
        <v>0</v>
      </c>
      <c r="I435" s="68">
        <v>3.22</v>
      </c>
      <c r="J435" s="68">
        <f t="shared" si="18"/>
        <v>0</v>
      </c>
      <c r="K435" s="62" t="s">
        <v>132</v>
      </c>
      <c r="L435" s="75"/>
      <c r="V435" s="4"/>
    </row>
    <row r="436" spans="1:22" s="3" customFormat="1" ht="12.75">
      <c r="A436" s="55">
        <v>90319</v>
      </c>
      <c r="B436" s="58" t="s">
        <v>508</v>
      </c>
      <c r="C436" s="58" t="s">
        <v>500</v>
      </c>
      <c r="D436" s="58" t="s">
        <v>501</v>
      </c>
      <c r="E436" s="58" t="s">
        <v>502</v>
      </c>
      <c r="F436" s="63">
        <v>13.15</v>
      </c>
      <c r="G436" s="58">
        <f>10+10+10+6-10-10-10</f>
        <v>6</v>
      </c>
      <c r="H436" s="59">
        <f t="shared" si="17"/>
        <v>78.9</v>
      </c>
      <c r="I436" s="68">
        <v>1.26</v>
      </c>
      <c r="J436" s="68">
        <f t="shared" si="18"/>
        <v>7.5600000000000005</v>
      </c>
      <c r="K436" s="62" t="s">
        <v>132</v>
      </c>
      <c r="L436" s="75"/>
      <c r="V436" s="4"/>
    </row>
    <row r="437" spans="1:22" s="3" customFormat="1" ht="12.75">
      <c r="A437" s="55">
        <v>52</v>
      </c>
      <c r="B437" s="58" t="s">
        <v>509</v>
      </c>
      <c r="C437" s="58" t="s">
        <v>500</v>
      </c>
      <c r="D437" s="58" t="s">
        <v>501</v>
      </c>
      <c r="E437" s="58" t="s">
        <v>502</v>
      </c>
      <c r="F437" s="63">
        <v>26.3</v>
      </c>
      <c r="G437" s="58">
        <v>52</v>
      </c>
      <c r="H437" s="59">
        <f t="shared" si="17"/>
        <v>1367.6000000000001</v>
      </c>
      <c r="I437" s="68">
        <v>2.5479999999999996</v>
      </c>
      <c r="J437" s="68">
        <f t="shared" si="18"/>
        <v>132.49599999999998</v>
      </c>
      <c r="K437" s="62" t="s">
        <v>132</v>
      </c>
      <c r="L437" s="75"/>
      <c r="V437" s="4"/>
    </row>
    <row r="438" spans="1:22" s="3" customFormat="1" ht="12.75">
      <c r="A438" s="55">
        <v>90324</v>
      </c>
      <c r="B438" s="58" t="s">
        <v>510</v>
      </c>
      <c r="C438" s="58" t="s">
        <v>500</v>
      </c>
      <c r="D438" s="58" t="s">
        <v>501</v>
      </c>
      <c r="E438" s="58" t="s">
        <v>507</v>
      </c>
      <c r="F438" s="63">
        <v>45.55</v>
      </c>
      <c r="G438" s="58">
        <f>50-15</f>
        <v>35</v>
      </c>
      <c r="H438" s="59">
        <f t="shared" si="17"/>
        <v>1594.25</v>
      </c>
      <c r="I438" s="68">
        <v>3.976</v>
      </c>
      <c r="J438" s="68">
        <f t="shared" si="18"/>
        <v>139.16</v>
      </c>
      <c r="K438" s="62" t="s">
        <v>132</v>
      </c>
      <c r="L438" s="75"/>
      <c r="V438" s="4"/>
    </row>
    <row r="439" spans="1:22" s="3" customFormat="1" ht="12.75">
      <c r="A439" s="55">
        <v>90329</v>
      </c>
      <c r="B439" s="58" t="s">
        <v>511</v>
      </c>
      <c r="C439" s="58" t="s">
        <v>500</v>
      </c>
      <c r="D439" s="58" t="s">
        <v>501</v>
      </c>
      <c r="E439" s="58" t="s">
        <v>502</v>
      </c>
      <c r="F439" s="63">
        <v>40.19</v>
      </c>
      <c r="G439" s="58">
        <f>170-10-1-2</f>
        <v>157</v>
      </c>
      <c r="H439" s="59">
        <f t="shared" si="17"/>
        <v>6309.83</v>
      </c>
      <c r="I439" s="68">
        <v>3.3879999999999995</v>
      </c>
      <c r="J439" s="68">
        <f t="shared" si="18"/>
        <v>531.9159999999999</v>
      </c>
      <c r="K439" s="62" t="s">
        <v>132</v>
      </c>
      <c r="L439" s="75"/>
      <c r="V439" s="4"/>
    </row>
    <row r="440" spans="1:22" s="3" customFormat="1" ht="12.75">
      <c r="A440" s="55">
        <v>90330</v>
      </c>
      <c r="B440" s="58" t="s">
        <v>511</v>
      </c>
      <c r="C440" s="58" t="s">
        <v>500</v>
      </c>
      <c r="D440" s="58" t="s">
        <v>501</v>
      </c>
      <c r="E440" s="58" t="s">
        <v>512</v>
      </c>
      <c r="F440" s="63">
        <v>40.19</v>
      </c>
      <c r="G440" s="58">
        <f>124-4-1</f>
        <v>119</v>
      </c>
      <c r="H440" s="59">
        <f t="shared" si="17"/>
        <v>4782.61</v>
      </c>
      <c r="I440" s="68">
        <v>3.3879999999999995</v>
      </c>
      <c r="J440" s="68">
        <f t="shared" si="18"/>
        <v>403.1719999999999</v>
      </c>
      <c r="K440" s="62" t="s">
        <v>132</v>
      </c>
      <c r="L440" s="75"/>
      <c r="V440" s="4"/>
    </row>
    <row r="441" spans="1:22" s="3" customFormat="1" ht="25.5">
      <c r="A441" s="55">
        <v>90337</v>
      </c>
      <c r="B441" s="58" t="s">
        <v>513</v>
      </c>
      <c r="C441" s="58" t="s">
        <v>500</v>
      </c>
      <c r="D441" s="58" t="s">
        <v>501</v>
      </c>
      <c r="E441" s="58" t="s">
        <v>514</v>
      </c>
      <c r="F441" s="63">
        <v>17.23</v>
      </c>
      <c r="G441" s="58">
        <f>5*6</f>
        <v>30</v>
      </c>
      <c r="H441" s="59">
        <f t="shared" si="17"/>
        <v>516.9</v>
      </c>
      <c r="I441" s="68">
        <v>1.456</v>
      </c>
      <c r="J441" s="68">
        <f t="shared" si="18"/>
        <v>43.68</v>
      </c>
      <c r="K441" s="62" t="s">
        <v>132</v>
      </c>
      <c r="L441" s="75"/>
      <c r="V441" s="4"/>
    </row>
    <row r="442" spans="1:22" s="3" customFormat="1" ht="12.75">
      <c r="A442" s="55">
        <v>90339</v>
      </c>
      <c r="B442" s="58" t="s">
        <v>515</v>
      </c>
      <c r="C442" s="58" t="s">
        <v>500</v>
      </c>
      <c r="D442" s="58" t="s">
        <v>501</v>
      </c>
      <c r="E442" s="58" t="s">
        <v>502</v>
      </c>
      <c r="F442" s="63">
        <v>28.71</v>
      </c>
      <c r="G442" s="58">
        <v>76</v>
      </c>
      <c r="H442" s="59">
        <f t="shared" si="17"/>
        <v>2181.96</v>
      </c>
      <c r="I442" s="68">
        <v>2.856</v>
      </c>
      <c r="J442" s="68">
        <f t="shared" si="18"/>
        <v>217.05599999999998</v>
      </c>
      <c r="K442" s="62" t="s">
        <v>132</v>
      </c>
      <c r="L442" s="75"/>
      <c r="V442" s="4"/>
    </row>
    <row r="443" spans="1:22" s="3" customFormat="1" ht="25.5">
      <c r="A443" s="55">
        <v>90341</v>
      </c>
      <c r="B443" s="58" t="s">
        <v>516</v>
      </c>
      <c r="C443" s="58" t="s">
        <v>500</v>
      </c>
      <c r="D443" s="58" t="s">
        <v>501</v>
      </c>
      <c r="E443" s="58" t="s">
        <v>502</v>
      </c>
      <c r="F443" s="63">
        <v>45.94</v>
      </c>
      <c r="G443" s="58">
        <f>2-2</f>
        <v>0</v>
      </c>
      <c r="H443" s="59">
        <f t="shared" si="17"/>
        <v>0</v>
      </c>
      <c r="I443" s="68">
        <v>4.536</v>
      </c>
      <c r="J443" s="68">
        <f t="shared" si="18"/>
        <v>0</v>
      </c>
      <c r="K443" s="62" t="s">
        <v>132</v>
      </c>
      <c r="L443" s="75"/>
      <c r="V443" s="4"/>
    </row>
    <row r="444" spans="1:22" s="3" customFormat="1" ht="25.5">
      <c r="A444" s="55">
        <v>90343</v>
      </c>
      <c r="B444" s="58" t="s">
        <v>517</v>
      </c>
      <c r="C444" s="58" t="s">
        <v>500</v>
      </c>
      <c r="D444" s="58" t="s">
        <v>501</v>
      </c>
      <c r="E444" s="58" t="s">
        <v>518</v>
      </c>
      <c r="F444" s="63">
        <v>34.45</v>
      </c>
      <c r="G444" s="58">
        <f>13</f>
        <v>13</v>
      </c>
      <c r="H444" s="59">
        <f t="shared" si="17"/>
        <v>447.85</v>
      </c>
      <c r="I444" s="68">
        <v>3.4440000000000004</v>
      </c>
      <c r="J444" s="68">
        <f t="shared" si="18"/>
        <v>44.772000000000006</v>
      </c>
      <c r="K444" s="62" t="s">
        <v>132</v>
      </c>
      <c r="L444" s="75"/>
      <c r="V444" s="4"/>
    </row>
    <row r="445" spans="1:22" s="3" customFormat="1" ht="12.75">
      <c r="A445" s="55">
        <v>90349</v>
      </c>
      <c r="B445" s="58" t="s">
        <v>519</v>
      </c>
      <c r="C445" s="58" t="s">
        <v>472</v>
      </c>
      <c r="D445" s="58" t="s">
        <v>473</v>
      </c>
      <c r="E445" s="58" t="s">
        <v>478</v>
      </c>
      <c r="F445" s="63">
        <v>49</v>
      </c>
      <c r="G445" s="58">
        <f>4</f>
        <v>4</v>
      </c>
      <c r="H445" s="59">
        <f t="shared" si="17"/>
        <v>196</v>
      </c>
      <c r="I445" s="68">
        <v>4.9</v>
      </c>
      <c r="J445" s="68">
        <f t="shared" si="18"/>
        <v>19.6</v>
      </c>
      <c r="K445" s="62" t="s">
        <v>132</v>
      </c>
      <c r="L445" s="75"/>
      <c r="V445" s="4"/>
    </row>
    <row r="446" spans="1:22" s="3" customFormat="1" ht="38.25">
      <c r="A446" s="55">
        <v>90410</v>
      </c>
      <c r="B446" s="58" t="s">
        <v>520</v>
      </c>
      <c r="C446" s="58" t="s">
        <v>500</v>
      </c>
      <c r="D446" s="76" t="s">
        <v>353</v>
      </c>
      <c r="E446" s="76" t="s">
        <v>502</v>
      </c>
      <c r="F446" s="63">
        <v>6.88</v>
      </c>
      <c r="G446" s="58">
        <f>60+60+50</f>
        <v>170</v>
      </c>
      <c r="H446" s="59">
        <f t="shared" si="17"/>
        <v>1169.6</v>
      </c>
      <c r="I446" s="68">
        <v>0.616</v>
      </c>
      <c r="J446" s="68">
        <f t="shared" si="18"/>
        <v>104.72</v>
      </c>
      <c r="K446" s="62" t="s">
        <v>132</v>
      </c>
      <c r="L446" s="75"/>
      <c r="V446" s="4"/>
    </row>
    <row r="447" spans="1:22" s="3" customFormat="1" ht="25.5">
      <c r="A447" s="55">
        <v>90455</v>
      </c>
      <c r="B447" s="58" t="s">
        <v>521</v>
      </c>
      <c r="C447" s="58" t="s">
        <v>431</v>
      </c>
      <c r="D447" s="58" t="s">
        <v>437</v>
      </c>
      <c r="E447" s="58" t="s">
        <v>522</v>
      </c>
      <c r="F447" s="63">
        <v>12.04</v>
      </c>
      <c r="G447" s="58">
        <f>14+14+16+11+25+25+10+16+9</f>
        <v>140</v>
      </c>
      <c r="H447" s="59">
        <f t="shared" si="17"/>
        <v>1685.6</v>
      </c>
      <c r="I447" s="68">
        <v>1.1480000000000001</v>
      </c>
      <c r="J447" s="68">
        <f t="shared" si="18"/>
        <v>160.72000000000003</v>
      </c>
      <c r="K447" s="62" t="s">
        <v>132</v>
      </c>
      <c r="L447" s="75"/>
      <c r="V447" s="4"/>
    </row>
    <row r="448" spans="1:22" s="3" customFormat="1" ht="25.5">
      <c r="A448" s="55">
        <v>90474</v>
      </c>
      <c r="B448" s="58" t="s">
        <v>523</v>
      </c>
      <c r="C448" s="58" t="s">
        <v>431</v>
      </c>
      <c r="D448" s="58" t="s">
        <v>444</v>
      </c>
      <c r="E448" s="76" t="s">
        <v>524</v>
      </c>
      <c r="F448" s="63">
        <v>27.5</v>
      </c>
      <c r="G448" s="58">
        <f>2</f>
        <v>2</v>
      </c>
      <c r="H448" s="59">
        <f t="shared" si="17"/>
        <v>55</v>
      </c>
      <c r="I448" s="68">
        <v>2.6879999999999997</v>
      </c>
      <c r="J448" s="68">
        <f t="shared" si="18"/>
        <v>5.3759999999999994</v>
      </c>
      <c r="K448" s="62" t="s">
        <v>132</v>
      </c>
      <c r="L448" s="75"/>
      <c r="V448" s="4"/>
    </row>
    <row r="449" spans="1:22" s="3" customFormat="1" ht="12.75">
      <c r="A449" s="55">
        <v>90523</v>
      </c>
      <c r="B449" s="58" t="s">
        <v>525</v>
      </c>
      <c r="C449" s="58" t="s">
        <v>431</v>
      </c>
      <c r="D449" s="58" t="s">
        <v>432</v>
      </c>
      <c r="E449" s="58" t="s">
        <v>526</v>
      </c>
      <c r="F449" s="63">
        <v>32.5</v>
      </c>
      <c r="G449" s="58">
        <f>9</f>
        <v>9</v>
      </c>
      <c r="H449" s="59">
        <f t="shared" si="17"/>
        <v>292.5</v>
      </c>
      <c r="I449" s="68">
        <v>3.136</v>
      </c>
      <c r="J449" s="68">
        <f t="shared" si="18"/>
        <v>28.224</v>
      </c>
      <c r="K449" s="62" t="s">
        <v>132</v>
      </c>
      <c r="L449" s="75"/>
      <c r="V449" s="4"/>
    </row>
    <row r="450" spans="1:22" s="3" customFormat="1" ht="12.75">
      <c r="A450" s="55">
        <v>90524</v>
      </c>
      <c r="B450" s="58" t="s">
        <v>527</v>
      </c>
      <c r="C450" s="58" t="s">
        <v>431</v>
      </c>
      <c r="D450" s="58" t="s">
        <v>432</v>
      </c>
      <c r="E450" s="58" t="s">
        <v>526</v>
      </c>
      <c r="F450" s="63">
        <v>32.5</v>
      </c>
      <c r="G450" s="58">
        <f>9</f>
        <v>9</v>
      </c>
      <c r="H450" s="59">
        <f t="shared" si="17"/>
        <v>292.5</v>
      </c>
      <c r="I450" s="68">
        <v>3.136</v>
      </c>
      <c r="J450" s="68">
        <f t="shared" si="18"/>
        <v>28.224</v>
      </c>
      <c r="K450" s="62" t="s">
        <v>132</v>
      </c>
      <c r="L450" s="75"/>
      <c r="V450" s="4"/>
    </row>
    <row r="451" spans="1:22" s="3" customFormat="1" ht="25.5">
      <c r="A451" s="55">
        <v>90532</v>
      </c>
      <c r="B451" s="58" t="s">
        <v>528</v>
      </c>
      <c r="C451" s="58" t="s">
        <v>529</v>
      </c>
      <c r="D451" s="76" t="s">
        <v>530</v>
      </c>
      <c r="E451" s="76" t="s">
        <v>502</v>
      </c>
      <c r="F451" s="63">
        <v>3.14</v>
      </c>
      <c r="G451" s="58">
        <f>640+340+33</f>
        <v>1013</v>
      </c>
      <c r="H451" s="59">
        <f t="shared" si="17"/>
        <v>3180.82</v>
      </c>
      <c r="I451" s="68">
        <v>0.308</v>
      </c>
      <c r="J451" s="68">
        <f t="shared" si="18"/>
        <v>312.004</v>
      </c>
      <c r="K451" s="62" t="s">
        <v>132</v>
      </c>
      <c r="L451" s="75"/>
      <c r="V451" s="4"/>
    </row>
    <row r="452" spans="1:22" s="3" customFormat="1" ht="12.75">
      <c r="A452" s="55">
        <v>90534</v>
      </c>
      <c r="B452" s="58" t="s">
        <v>531</v>
      </c>
      <c r="C452" s="58" t="s">
        <v>431</v>
      </c>
      <c r="D452" s="76" t="s">
        <v>432</v>
      </c>
      <c r="E452" s="76" t="s">
        <v>532</v>
      </c>
      <c r="F452" s="63">
        <v>3.14</v>
      </c>
      <c r="G452" s="58">
        <f>51+39</f>
        <v>90</v>
      </c>
      <c r="H452" s="59">
        <f t="shared" si="17"/>
        <v>282.6</v>
      </c>
      <c r="I452" s="68">
        <v>0.308</v>
      </c>
      <c r="J452" s="68">
        <f t="shared" si="18"/>
        <v>27.72</v>
      </c>
      <c r="K452" s="62" t="s">
        <v>132</v>
      </c>
      <c r="L452" s="75"/>
      <c r="V452" s="4"/>
    </row>
    <row r="453" spans="1:22" s="3" customFormat="1" ht="12.75">
      <c r="A453" s="55">
        <v>90536</v>
      </c>
      <c r="B453" s="58" t="s">
        <v>533</v>
      </c>
      <c r="C453" s="58" t="s">
        <v>431</v>
      </c>
      <c r="D453" s="76" t="s">
        <v>432</v>
      </c>
      <c r="E453" s="76" t="s">
        <v>534</v>
      </c>
      <c r="F453" s="63">
        <v>11.29</v>
      </c>
      <c r="G453" s="58">
        <f>21+22+22+22+22+20+16+20+39+22+21+8</f>
        <v>255</v>
      </c>
      <c r="H453" s="59">
        <f aca="true" t="shared" si="19" ref="H453:H483">G453*F453</f>
        <v>2878.95</v>
      </c>
      <c r="I453" s="68">
        <v>1.092</v>
      </c>
      <c r="J453" s="68">
        <f t="shared" si="18"/>
        <v>278.46000000000004</v>
      </c>
      <c r="K453" s="62" t="s">
        <v>132</v>
      </c>
      <c r="L453" s="75"/>
      <c r="V453" s="4"/>
    </row>
    <row r="454" spans="1:22" s="3" customFormat="1" ht="12.75">
      <c r="A454" s="55">
        <v>90537</v>
      </c>
      <c r="B454" s="58" t="s">
        <v>535</v>
      </c>
      <c r="C454" s="58" t="s">
        <v>431</v>
      </c>
      <c r="D454" s="76" t="s">
        <v>432</v>
      </c>
      <c r="E454" s="76"/>
      <c r="F454" s="63">
        <v>11.83</v>
      </c>
      <c r="G454" s="58">
        <f>90+80+57+113</f>
        <v>340</v>
      </c>
      <c r="H454" s="59">
        <f t="shared" si="19"/>
        <v>4022.2</v>
      </c>
      <c r="I454" s="68">
        <v>1.1480000000000001</v>
      </c>
      <c r="J454" s="68">
        <f aca="true" t="shared" si="20" ref="J454:J484">G454*I454</f>
        <v>390.32000000000005</v>
      </c>
      <c r="K454" s="62" t="s">
        <v>132</v>
      </c>
      <c r="L454" s="75"/>
      <c r="V454" s="4"/>
    </row>
    <row r="455" spans="1:22" s="3" customFormat="1" ht="12.75">
      <c r="A455" s="55">
        <v>90547</v>
      </c>
      <c r="B455" s="58" t="s">
        <v>536</v>
      </c>
      <c r="C455" s="58" t="s">
        <v>472</v>
      </c>
      <c r="D455" s="76" t="s">
        <v>432</v>
      </c>
      <c r="E455" s="76" t="s">
        <v>482</v>
      </c>
      <c r="F455" s="63">
        <v>39</v>
      </c>
      <c r="G455" s="58">
        <f>15</f>
        <v>15</v>
      </c>
      <c r="H455" s="59">
        <f t="shared" si="19"/>
        <v>585</v>
      </c>
      <c r="I455" s="68">
        <v>3.696</v>
      </c>
      <c r="J455" s="68">
        <f t="shared" si="20"/>
        <v>55.440000000000005</v>
      </c>
      <c r="K455" s="62" t="s">
        <v>132</v>
      </c>
      <c r="L455" s="75"/>
      <c r="V455" s="4"/>
    </row>
    <row r="456" spans="1:22" s="3" customFormat="1" ht="12.75">
      <c r="A456" s="55">
        <v>90548</v>
      </c>
      <c r="B456" s="58" t="s">
        <v>537</v>
      </c>
      <c r="C456" s="58" t="s">
        <v>472</v>
      </c>
      <c r="D456" s="76" t="s">
        <v>432</v>
      </c>
      <c r="E456" s="76" t="s">
        <v>482</v>
      </c>
      <c r="F456" s="63">
        <v>45</v>
      </c>
      <c r="G456" s="58">
        <f>33</f>
        <v>33</v>
      </c>
      <c r="H456" s="59">
        <f t="shared" si="19"/>
        <v>1485</v>
      </c>
      <c r="I456" s="68">
        <v>4.34</v>
      </c>
      <c r="J456" s="68">
        <f t="shared" si="20"/>
        <v>143.22</v>
      </c>
      <c r="K456" s="62" t="s">
        <v>132</v>
      </c>
      <c r="L456" s="75"/>
      <c r="V456" s="4"/>
    </row>
    <row r="457" spans="1:22" s="3" customFormat="1" ht="25.5">
      <c r="A457" s="55">
        <v>90567</v>
      </c>
      <c r="B457" s="58" t="s">
        <v>538</v>
      </c>
      <c r="C457" s="58" t="s">
        <v>529</v>
      </c>
      <c r="D457" s="76" t="s">
        <v>530</v>
      </c>
      <c r="E457" s="76" t="s">
        <v>502</v>
      </c>
      <c r="F457" s="63">
        <v>3.14</v>
      </c>
      <c r="G457" s="58">
        <f>640+627+114</f>
        <v>1381</v>
      </c>
      <c r="H457" s="59">
        <f t="shared" si="19"/>
        <v>4336.34</v>
      </c>
      <c r="I457" s="68">
        <v>0.308</v>
      </c>
      <c r="J457" s="68">
        <f t="shared" si="20"/>
        <v>425.348</v>
      </c>
      <c r="K457" s="62" t="s">
        <v>132</v>
      </c>
      <c r="L457" s="75"/>
      <c r="V457" s="4"/>
    </row>
    <row r="458" spans="1:22" s="3" customFormat="1" ht="25.5">
      <c r="A458" s="55">
        <v>90639</v>
      </c>
      <c r="B458" s="58" t="s">
        <v>539</v>
      </c>
      <c r="C458" s="58" t="s">
        <v>472</v>
      </c>
      <c r="D458" s="76" t="s">
        <v>432</v>
      </c>
      <c r="E458" s="76" t="s">
        <v>540</v>
      </c>
      <c r="F458" s="63">
        <v>12</v>
      </c>
      <c r="G458" s="58">
        <f>9</f>
        <v>9</v>
      </c>
      <c r="H458" s="59">
        <f t="shared" si="19"/>
        <v>108</v>
      </c>
      <c r="I458" s="68">
        <v>1.1480000000000001</v>
      </c>
      <c r="J458" s="68">
        <f t="shared" si="20"/>
        <v>10.332</v>
      </c>
      <c r="K458" s="62" t="s">
        <v>132</v>
      </c>
      <c r="L458" s="75"/>
      <c r="V458" s="4"/>
    </row>
    <row r="459" spans="1:22" s="3" customFormat="1" ht="25.5">
      <c r="A459" s="55">
        <v>90640</v>
      </c>
      <c r="B459" s="58" t="s">
        <v>541</v>
      </c>
      <c r="C459" s="58" t="s">
        <v>472</v>
      </c>
      <c r="D459" s="76" t="s">
        <v>432</v>
      </c>
      <c r="E459" s="76" t="s">
        <v>540</v>
      </c>
      <c r="F459" s="63">
        <v>14</v>
      </c>
      <c r="G459" s="58">
        <v>28</v>
      </c>
      <c r="H459" s="59">
        <f t="shared" si="19"/>
        <v>392</v>
      </c>
      <c r="I459" s="68">
        <v>1.1760000000000002</v>
      </c>
      <c r="J459" s="68">
        <f t="shared" si="20"/>
        <v>32.928000000000004</v>
      </c>
      <c r="K459" s="62" t="s">
        <v>132</v>
      </c>
      <c r="L459" s="75"/>
      <c r="V459" s="4"/>
    </row>
    <row r="460" spans="1:22" s="3" customFormat="1" ht="25.5">
      <c r="A460" s="55">
        <v>90641</v>
      </c>
      <c r="B460" s="58" t="s">
        <v>542</v>
      </c>
      <c r="C460" s="58" t="s">
        <v>472</v>
      </c>
      <c r="D460" s="76" t="s">
        <v>432</v>
      </c>
      <c r="E460" s="76" t="s">
        <v>540</v>
      </c>
      <c r="F460" s="63">
        <v>12</v>
      </c>
      <c r="G460" s="58">
        <v>35</v>
      </c>
      <c r="H460" s="59">
        <f t="shared" si="19"/>
        <v>420</v>
      </c>
      <c r="I460" s="68">
        <v>1.1480000000000001</v>
      </c>
      <c r="J460" s="68">
        <f t="shared" si="20"/>
        <v>40.18000000000001</v>
      </c>
      <c r="K460" s="62" t="s">
        <v>132</v>
      </c>
      <c r="L460" s="75"/>
      <c r="V460" s="4"/>
    </row>
    <row r="461" spans="1:22" s="3" customFormat="1" ht="12.75">
      <c r="A461" s="55">
        <v>90642</v>
      </c>
      <c r="B461" s="58" t="s">
        <v>543</v>
      </c>
      <c r="C461" s="58" t="s">
        <v>472</v>
      </c>
      <c r="D461" s="76" t="s">
        <v>432</v>
      </c>
      <c r="E461" s="76" t="s">
        <v>474</v>
      </c>
      <c r="F461" s="63">
        <v>10</v>
      </c>
      <c r="G461" s="58">
        <v>48</v>
      </c>
      <c r="H461" s="59">
        <f t="shared" si="19"/>
        <v>480</v>
      </c>
      <c r="I461" s="68">
        <v>0.98</v>
      </c>
      <c r="J461" s="68">
        <f t="shared" si="20"/>
        <v>47.04</v>
      </c>
      <c r="K461" s="62" t="s">
        <v>132</v>
      </c>
      <c r="L461" s="75"/>
      <c r="V461" s="4"/>
    </row>
    <row r="462" spans="1:22" s="3" customFormat="1" ht="12.75">
      <c r="A462" s="55">
        <v>90643</v>
      </c>
      <c r="B462" s="58" t="s">
        <v>544</v>
      </c>
      <c r="C462" s="58" t="s">
        <v>472</v>
      </c>
      <c r="D462" s="76" t="s">
        <v>432</v>
      </c>
      <c r="E462" s="76" t="s">
        <v>474</v>
      </c>
      <c r="F462" s="63">
        <v>12</v>
      </c>
      <c r="G462" s="58">
        <v>36</v>
      </c>
      <c r="H462" s="59">
        <f t="shared" si="19"/>
        <v>432</v>
      </c>
      <c r="I462" s="68">
        <v>1.1480000000000001</v>
      </c>
      <c r="J462" s="68">
        <f t="shared" si="20"/>
        <v>41.328</v>
      </c>
      <c r="K462" s="62" t="s">
        <v>132</v>
      </c>
      <c r="L462" s="75"/>
      <c r="V462" s="4"/>
    </row>
    <row r="463" spans="1:22" s="3" customFormat="1" ht="12.75">
      <c r="A463" s="55">
        <v>90644</v>
      </c>
      <c r="B463" s="58" t="s">
        <v>545</v>
      </c>
      <c r="C463" s="58" t="s">
        <v>472</v>
      </c>
      <c r="D463" s="76" t="s">
        <v>432</v>
      </c>
      <c r="E463" s="76" t="s">
        <v>482</v>
      </c>
      <c r="F463" s="63">
        <v>15</v>
      </c>
      <c r="G463" s="58">
        <v>46</v>
      </c>
      <c r="H463" s="59">
        <f t="shared" si="19"/>
        <v>690</v>
      </c>
      <c r="I463" s="68">
        <v>1.456</v>
      </c>
      <c r="J463" s="68">
        <f t="shared" si="20"/>
        <v>66.976</v>
      </c>
      <c r="K463" s="62" t="s">
        <v>132</v>
      </c>
      <c r="L463" s="75"/>
      <c r="V463" s="4"/>
    </row>
    <row r="464" spans="1:22" s="3" customFormat="1" ht="12.75">
      <c r="A464" s="55">
        <v>90645</v>
      </c>
      <c r="B464" s="58" t="s">
        <v>546</v>
      </c>
      <c r="C464" s="58" t="s">
        <v>472</v>
      </c>
      <c r="D464" s="76" t="s">
        <v>432</v>
      </c>
      <c r="E464" s="76" t="s">
        <v>482</v>
      </c>
      <c r="F464" s="63">
        <v>14</v>
      </c>
      <c r="G464" s="58">
        <v>43</v>
      </c>
      <c r="H464" s="59">
        <f t="shared" si="19"/>
        <v>602</v>
      </c>
      <c r="I464" s="68">
        <v>1.1760000000000002</v>
      </c>
      <c r="J464" s="68">
        <f t="shared" si="20"/>
        <v>50.568000000000005</v>
      </c>
      <c r="K464" s="62" t="s">
        <v>132</v>
      </c>
      <c r="L464" s="75"/>
      <c r="V464" s="4"/>
    </row>
    <row r="465" spans="1:22" s="3" customFormat="1" ht="12.75">
      <c r="A465" s="55">
        <v>90646</v>
      </c>
      <c r="B465" s="58" t="s">
        <v>547</v>
      </c>
      <c r="C465" s="58" t="s">
        <v>472</v>
      </c>
      <c r="D465" s="76" t="s">
        <v>432</v>
      </c>
      <c r="E465" s="76" t="s">
        <v>548</v>
      </c>
      <c r="F465" s="63">
        <v>15</v>
      </c>
      <c r="G465" s="58">
        <v>48</v>
      </c>
      <c r="H465" s="59">
        <f t="shared" si="19"/>
        <v>720</v>
      </c>
      <c r="I465" s="68">
        <v>1.456</v>
      </c>
      <c r="J465" s="68">
        <f t="shared" si="20"/>
        <v>69.888</v>
      </c>
      <c r="K465" s="62" t="s">
        <v>132</v>
      </c>
      <c r="L465" s="75"/>
      <c r="V465" s="4"/>
    </row>
    <row r="466" spans="1:22" s="3" customFormat="1" ht="12.75">
      <c r="A466" s="55">
        <v>90647</v>
      </c>
      <c r="B466" s="58" t="s">
        <v>549</v>
      </c>
      <c r="C466" s="58" t="s">
        <v>472</v>
      </c>
      <c r="D466" s="76" t="s">
        <v>432</v>
      </c>
      <c r="E466" s="76" t="s">
        <v>548</v>
      </c>
      <c r="F466" s="63">
        <v>15</v>
      </c>
      <c r="G466" s="58">
        <v>38</v>
      </c>
      <c r="H466" s="59">
        <f t="shared" si="19"/>
        <v>570</v>
      </c>
      <c r="I466" s="68">
        <v>1.456</v>
      </c>
      <c r="J466" s="68">
        <f t="shared" si="20"/>
        <v>55.327999999999996</v>
      </c>
      <c r="K466" s="62" t="s">
        <v>132</v>
      </c>
      <c r="L466" s="75"/>
      <c r="V466" s="4"/>
    </row>
    <row r="467" spans="1:22" s="3" customFormat="1" ht="12.75">
      <c r="A467" s="55">
        <v>90648</v>
      </c>
      <c r="B467" s="58" t="s">
        <v>550</v>
      </c>
      <c r="C467" s="58" t="s">
        <v>472</v>
      </c>
      <c r="D467" s="76" t="s">
        <v>432</v>
      </c>
      <c r="E467" s="76" t="s">
        <v>548</v>
      </c>
      <c r="F467" s="63">
        <v>14</v>
      </c>
      <c r="G467" s="58">
        <v>41</v>
      </c>
      <c r="H467" s="59">
        <f t="shared" si="19"/>
        <v>574</v>
      </c>
      <c r="I467" s="68">
        <v>1.204</v>
      </c>
      <c r="J467" s="68">
        <f t="shared" si="20"/>
        <v>49.364</v>
      </c>
      <c r="K467" s="62" t="s">
        <v>132</v>
      </c>
      <c r="L467" s="75"/>
      <c r="V467" s="4"/>
    </row>
    <row r="468" spans="1:22" s="3" customFormat="1" ht="12.75">
      <c r="A468" s="55">
        <v>90650</v>
      </c>
      <c r="B468" s="58" t="s">
        <v>551</v>
      </c>
      <c r="C468" s="58" t="s">
        <v>472</v>
      </c>
      <c r="D468" s="76" t="s">
        <v>432</v>
      </c>
      <c r="E468" s="76" t="s">
        <v>552</v>
      </c>
      <c r="F468" s="63">
        <v>41</v>
      </c>
      <c r="G468" s="58">
        <f>24</f>
        <v>24</v>
      </c>
      <c r="H468" s="59">
        <f t="shared" si="19"/>
        <v>984</v>
      </c>
      <c r="I468" s="68">
        <v>4</v>
      </c>
      <c r="J468" s="68">
        <f t="shared" si="20"/>
        <v>96</v>
      </c>
      <c r="K468" s="62" t="s">
        <v>132</v>
      </c>
      <c r="L468" s="75"/>
      <c r="V468" s="4"/>
    </row>
    <row r="469" spans="1:22" s="3" customFormat="1" ht="12.75">
      <c r="A469" s="55">
        <v>90651</v>
      </c>
      <c r="B469" s="58" t="s">
        <v>553</v>
      </c>
      <c r="C469" s="58" t="s">
        <v>472</v>
      </c>
      <c r="D469" s="76" t="s">
        <v>432</v>
      </c>
      <c r="E469" s="76" t="s">
        <v>552</v>
      </c>
      <c r="F469" s="63">
        <v>41</v>
      </c>
      <c r="G469" s="58">
        <f>34</f>
        <v>34</v>
      </c>
      <c r="H469" s="59">
        <f t="shared" si="19"/>
        <v>1394</v>
      </c>
      <c r="I469" s="68">
        <v>4</v>
      </c>
      <c r="J469" s="68">
        <f t="shared" si="20"/>
        <v>136</v>
      </c>
      <c r="K469" s="62" t="s">
        <v>132</v>
      </c>
      <c r="L469" s="75"/>
      <c r="V469" s="4"/>
    </row>
    <row r="470" spans="1:22" s="3" customFormat="1" ht="12.75">
      <c r="A470" s="55">
        <v>90652</v>
      </c>
      <c r="B470" s="58" t="s">
        <v>554</v>
      </c>
      <c r="C470" s="58" t="s">
        <v>472</v>
      </c>
      <c r="D470" s="76" t="s">
        <v>432</v>
      </c>
      <c r="E470" s="58" t="s">
        <v>552</v>
      </c>
      <c r="F470" s="63">
        <v>41</v>
      </c>
      <c r="G470" s="58">
        <f>27</f>
        <v>27</v>
      </c>
      <c r="H470" s="59">
        <f t="shared" si="19"/>
        <v>1107</v>
      </c>
      <c r="I470" s="68">
        <v>4</v>
      </c>
      <c r="J470" s="68">
        <f t="shared" si="20"/>
        <v>108</v>
      </c>
      <c r="K470" s="62" t="s">
        <v>132</v>
      </c>
      <c r="L470" s="75"/>
      <c r="V470" s="4"/>
    </row>
    <row r="471" spans="1:22" s="3" customFormat="1" ht="25.5">
      <c r="A471" s="55">
        <v>90734</v>
      </c>
      <c r="B471" s="58" t="s">
        <v>555</v>
      </c>
      <c r="C471" s="58" t="s">
        <v>431</v>
      </c>
      <c r="D471" s="58" t="s">
        <v>556</v>
      </c>
      <c r="E471" s="58" t="s">
        <v>534</v>
      </c>
      <c r="F471" s="63">
        <v>19</v>
      </c>
      <c r="G471" s="58">
        <f>19</f>
        <v>19</v>
      </c>
      <c r="H471" s="59">
        <f t="shared" si="19"/>
        <v>361</v>
      </c>
      <c r="I471" s="68">
        <v>1.736</v>
      </c>
      <c r="J471" s="68">
        <f t="shared" si="20"/>
        <v>32.984</v>
      </c>
      <c r="K471" s="62" t="s">
        <v>132</v>
      </c>
      <c r="L471" s="75"/>
      <c r="V471" s="4"/>
    </row>
    <row r="472" spans="1:22" s="3" customFormat="1" ht="25.5">
      <c r="A472" s="55">
        <v>90735</v>
      </c>
      <c r="B472" s="58" t="s">
        <v>557</v>
      </c>
      <c r="C472" s="58" t="s">
        <v>431</v>
      </c>
      <c r="D472" s="58" t="s">
        <v>556</v>
      </c>
      <c r="E472" s="58" t="s">
        <v>534</v>
      </c>
      <c r="F472" s="63">
        <v>12.5</v>
      </c>
      <c r="G472" s="58">
        <f>2</f>
        <v>2</v>
      </c>
      <c r="H472" s="59">
        <f t="shared" si="19"/>
        <v>25</v>
      </c>
      <c r="I472" s="68">
        <v>1.1480000000000001</v>
      </c>
      <c r="J472" s="68">
        <f t="shared" si="20"/>
        <v>2.2960000000000003</v>
      </c>
      <c r="K472" s="77"/>
      <c r="L472" s="78"/>
      <c r="V472" s="4"/>
    </row>
    <row r="473" spans="1:22" s="3" customFormat="1" ht="25.5">
      <c r="A473" s="55">
        <v>90737</v>
      </c>
      <c r="B473" s="58" t="s">
        <v>558</v>
      </c>
      <c r="C473" s="58" t="s">
        <v>431</v>
      </c>
      <c r="D473" s="58" t="s">
        <v>556</v>
      </c>
      <c r="E473" s="58" t="s">
        <v>534</v>
      </c>
      <c r="F473" s="63">
        <v>21</v>
      </c>
      <c r="G473" s="58">
        <f>4</f>
        <v>4</v>
      </c>
      <c r="H473" s="59">
        <f t="shared" si="19"/>
        <v>84</v>
      </c>
      <c r="I473" s="68">
        <v>1.932</v>
      </c>
      <c r="J473" s="68">
        <f t="shared" si="20"/>
        <v>7.728</v>
      </c>
      <c r="K473" s="62"/>
      <c r="L473" s="75"/>
      <c r="V473" s="4"/>
    </row>
    <row r="474" spans="1:22" s="3" customFormat="1" ht="25.5">
      <c r="A474" s="55">
        <v>90740</v>
      </c>
      <c r="B474" s="58" t="s">
        <v>559</v>
      </c>
      <c r="C474" s="58" t="s">
        <v>431</v>
      </c>
      <c r="D474" s="58" t="s">
        <v>556</v>
      </c>
      <c r="E474" s="58" t="s">
        <v>560</v>
      </c>
      <c r="F474" s="63">
        <v>51</v>
      </c>
      <c r="G474" s="58">
        <f>2</f>
        <v>2</v>
      </c>
      <c r="H474" s="59">
        <f t="shared" si="19"/>
        <v>102</v>
      </c>
      <c r="I474" s="68">
        <v>4.816</v>
      </c>
      <c r="J474" s="68">
        <f t="shared" si="20"/>
        <v>9.632</v>
      </c>
      <c r="K474" s="62" t="s">
        <v>132</v>
      </c>
      <c r="L474" s="75"/>
      <c r="V474" s="4"/>
    </row>
    <row r="475" spans="1:21" ht="12.75">
      <c r="A475" s="55">
        <v>90742</v>
      </c>
      <c r="B475" s="58" t="s">
        <v>561</v>
      </c>
      <c r="C475" s="58" t="s">
        <v>472</v>
      </c>
      <c r="D475" s="58" t="s">
        <v>432</v>
      </c>
      <c r="E475" s="58" t="s">
        <v>478</v>
      </c>
      <c r="F475" s="63">
        <v>24.5</v>
      </c>
      <c r="G475" s="58">
        <f>6</f>
        <v>6</v>
      </c>
      <c r="H475" s="59">
        <f t="shared" si="19"/>
        <v>147</v>
      </c>
      <c r="I475" s="68">
        <v>2.268</v>
      </c>
      <c r="J475" s="68">
        <f t="shared" si="20"/>
        <v>13.607999999999999</v>
      </c>
      <c r="K475" s="62" t="s">
        <v>132</v>
      </c>
      <c r="L475" s="75"/>
      <c r="U475" s="3"/>
    </row>
    <row r="476" spans="1:21" ht="25.5">
      <c r="A476" s="55">
        <v>90774</v>
      </c>
      <c r="B476" s="76" t="s">
        <v>562</v>
      </c>
      <c r="C476" s="58" t="s">
        <v>431</v>
      </c>
      <c r="D476" s="58" t="s">
        <v>444</v>
      </c>
      <c r="E476" s="58" t="s">
        <v>470</v>
      </c>
      <c r="F476" s="63">
        <v>18</v>
      </c>
      <c r="G476" s="58">
        <f>7+10</f>
        <v>17</v>
      </c>
      <c r="H476" s="59">
        <f t="shared" si="19"/>
        <v>306</v>
      </c>
      <c r="I476" s="68">
        <v>1.736</v>
      </c>
      <c r="J476" s="68">
        <f t="shared" si="20"/>
        <v>29.512</v>
      </c>
      <c r="K476" s="62" t="s">
        <v>132</v>
      </c>
      <c r="L476" s="75"/>
      <c r="U476" s="3"/>
    </row>
    <row r="477" spans="1:21" ht="25.5">
      <c r="A477" s="55">
        <v>90775</v>
      </c>
      <c r="B477" s="76" t="s">
        <v>563</v>
      </c>
      <c r="C477" s="58" t="s">
        <v>431</v>
      </c>
      <c r="D477" s="58" t="s">
        <v>444</v>
      </c>
      <c r="E477" s="58" t="s">
        <v>470</v>
      </c>
      <c r="F477" s="63">
        <v>18</v>
      </c>
      <c r="G477" s="58">
        <f>6+3</f>
        <v>9</v>
      </c>
      <c r="H477" s="59">
        <f t="shared" si="19"/>
        <v>162</v>
      </c>
      <c r="I477" s="68">
        <v>1.736</v>
      </c>
      <c r="J477" s="68">
        <f t="shared" si="20"/>
        <v>15.624</v>
      </c>
      <c r="K477" s="62" t="s">
        <v>132</v>
      </c>
      <c r="L477" s="75"/>
      <c r="U477" s="3"/>
    </row>
    <row r="478" spans="1:21" ht="25.5">
      <c r="A478" s="55">
        <v>90777</v>
      </c>
      <c r="B478" s="76" t="s">
        <v>564</v>
      </c>
      <c r="C478" s="58" t="s">
        <v>431</v>
      </c>
      <c r="D478" s="58" t="s">
        <v>444</v>
      </c>
      <c r="E478" s="58" t="s">
        <v>565</v>
      </c>
      <c r="F478" s="63">
        <v>2.25</v>
      </c>
      <c r="G478" s="58">
        <f>200</f>
        <v>200</v>
      </c>
      <c r="H478" s="59">
        <f t="shared" si="19"/>
        <v>450</v>
      </c>
      <c r="I478" s="68">
        <v>0.22400000000000003</v>
      </c>
      <c r="J478" s="68">
        <f t="shared" si="20"/>
        <v>44.800000000000004</v>
      </c>
      <c r="K478" s="62" t="s">
        <v>132</v>
      </c>
      <c r="L478" s="75"/>
      <c r="U478" s="3"/>
    </row>
    <row r="479" spans="1:21" ht="25.5">
      <c r="A479" s="55">
        <v>90785</v>
      </c>
      <c r="B479" s="58" t="s">
        <v>566</v>
      </c>
      <c r="C479" s="58" t="s">
        <v>431</v>
      </c>
      <c r="D479" s="58" t="s">
        <v>444</v>
      </c>
      <c r="E479" s="58" t="s">
        <v>565</v>
      </c>
      <c r="F479" s="63">
        <v>2.4</v>
      </c>
      <c r="G479" s="58">
        <v>92</v>
      </c>
      <c r="H479" s="59">
        <f t="shared" si="19"/>
        <v>220.79999999999998</v>
      </c>
      <c r="I479" s="68">
        <v>0.22400000000000003</v>
      </c>
      <c r="J479" s="68">
        <f t="shared" si="20"/>
        <v>20.608000000000004</v>
      </c>
      <c r="K479" s="62" t="s">
        <v>132</v>
      </c>
      <c r="L479" s="75"/>
      <c r="U479" s="3"/>
    </row>
    <row r="480" spans="1:21" ht="25.5">
      <c r="A480" s="55">
        <v>90786</v>
      </c>
      <c r="B480" s="76" t="s">
        <v>567</v>
      </c>
      <c r="C480" s="58" t="s">
        <v>431</v>
      </c>
      <c r="D480" s="58" t="s">
        <v>444</v>
      </c>
      <c r="E480" s="58" t="s">
        <v>568</v>
      </c>
      <c r="F480" s="63">
        <v>7.1</v>
      </c>
      <c r="G480" s="58">
        <f>167</f>
        <v>167</v>
      </c>
      <c r="H480" s="59">
        <f t="shared" si="19"/>
        <v>1185.7</v>
      </c>
      <c r="I480" s="68">
        <v>0.616</v>
      </c>
      <c r="J480" s="68">
        <f t="shared" si="20"/>
        <v>102.872</v>
      </c>
      <c r="K480" s="62" t="s">
        <v>132</v>
      </c>
      <c r="L480" s="75"/>
      <c r="U480" s="3"/>
    </row>
    <row r="481" spans="1:21" ht="25.5">
      <c r="A481" s="55">
        <v>90787</v>
      </c>
      <c r="B481" s="58" t="s">
        <v>569</v>
      </c>
      <c r="C481" s="58" t="s">
        <v>431</v>
      </c>
      <c r="D481" s="58" t="s">
        <v>444</v>
      </c>
      <c r="E481" s="58" t="s">
        <v>568</v>
      </c>
      <c r="F481" s="63">
        <v>7.1</v>
      </c>
      <c r="G481" s="58">
        <f>31</f>
        <v>31</v>
      </c>
      <c r="H481" s="59">
        <f t="shared" si="19"/>
        <v>220.1</v>
      </c>
      <c r="I481" s="68">
        <v>0.616</v>
      </c>
      <c r="J481" s="68">
        <f t="shared" si="20"/>
        <v>19.096</v>
      </c>
      <c r="K481" s="62" t="s">
        <v>132</v>
      </c>
      <c r="L481" s="75"/>
      <c r="U481" s="3"/>
    </row>
    <row r="482" spans="1:21" ht="25.5">
      <c r="A482" s="55">
        <v>90808</v>
      </c>
      <c r="B482" s="58" t="s">
        <v>570</v>
      </c>
      <c r="C482" s="58" t="s">
        <v>500</v>
      </c>
      <c r="D482" s="58" t="s">
        <v>571</v>
      </c>
      <c r="E482" s="58" t="s">
        <v>502</v>
      </c>
      <c r="F482" s="63">
        <v>33.5</v>
      </c>
      <c r="G482" s="58">
        <f>9+3</f>
        <v>12</v>
      </c>
      <c r="H482" s="59">
        <f t="shared" si="19"/>
        <v>402</v>
      </c>
      <c r="I482" s="68">
        <v>3.136</v>
      </c>
      <c r="J482" s="68">
        <f t="shared" si="20"/>
        <v>37.632000000000005</v>
      </c>
      <c r="K482" s="62" t="s">
        <v>132</v>
      </c>
      <c r="L482" s="75"/>
      <c r="U482" s="3"/>
    </row>
    <row r="483" spans="1:21" ht="12.75">
      <c r="A483" s="55">
        <v>90816</v>
      </c>
      <c r="B483" s="76" t="s">
        <v>572</v>
      </c>
      <c r="C483" s="58" t="s">
        <v>431</v>
      </c>
      <c r="D483" s="58" t="s">
        <v>432</v>
      </c>
      <c r="E483" s="58" t="s">
        <v>526</v>
      </c>
      <c r="F483" s="63">
        <v>32.5</v>
      </c>
      <c r="G483" s="58">
        <f>6</f>
        <v>6</v>
      </c>
      <c r="H483" s="59">
        <f t="shared" si="19"/>
        <v>195</v>
      </c>
      <c r="I483" s="68">
        <v>3.192</v>
      </c>
      <c r="J483" s="68">
        <f t="shared" si="20"/>
        <v>19.152</v>
      </c>
      <c r="K483" s="62" t="s">
        <v>132</v>
      </c>
      <c r="L483" s="75"/>
      <c r="U483" s="3"/>
    </row>
    <row r="484" spans="1:21" ht="12.75">
      <c r="A484" s="55">
        <v>90817</v>
      </c>
      <c r="B484" s="76" t="s">
        <v>406</v>
      </c>
      <c r="C484" s="58" t="s">
        <v>500</v>
      </c>
      <c r="D484" s="58" t="s">
        <v>501</v>
      </c>
      <c r="E484" s="58" t="s">
        <v>502</v>
      </c>
      <c r="F484" s="63">
        <v>21.9</v>
      </c>
      <c r="G484" s="58">
        <f>49-10-1-7</f>
        <v>31</v>
      </c>
      <c r="H484" s="59">
        <f>G484*F484</f>
        <v>678.9</v>
      </c>
      <c r="I484" s="68">
        <v>1.988</v>
      </c>
      <c r="J484" s="68">
        <f t="shared" si="20"/>
        <v>61.628</v>
      </c>
      <c r="K484" s="62" t="s">
        <v>132</v>
      </c>
      <c r="L484" s="75"/>
      <c r="U484" s="3"/>
    </row>
    <row r="485" spans="1:20" s="48" customFormat="1" ht="27.75" customHeight="1">
      <c r="A485" s="133" t="s">
        <v>573</v>
      </c>
      <c r="B485" s="133"/>
      <c r="C485" s="133"/>
      <c r="D485" s="79"/>
      <c r="E485" s="79"/>
      <c r="F485" s="79"/>
      <c r="G485" s="79"/>
      <c r="H485" s="79"/>
      <c r="I485" s="80"/>
      <c r="J485" s="81">
        <f>SUM(J389:J484)</f>
        <v>6613.648</v>
      </c>
      <c r="K485" s="82"/>
      <c r="L485" s="3"/>
      <c r="M485" s="3"/>
      <c r="N485" s="45"/>
      <c r="O485" s="45"/>
      <c r="P485" s="45"/>
      <c r="Q485" s="45"/>
      <c r="R485" s="45"/>
      <c r="S485" s="45"/>
      <c r="T485" s="45"/>
    </row>
    <row r="486" spans="1:11" ht="19.5" customHeight="1">
      <c r="A486" s="134" t="s">
        <v>574</v>
      </c>
      <c r="B486" s="135"/>
      <c r="C486" s="135"/>
      <c r="D486" s="135"/>
      <c r="E486" s="135"/>
      <c r="F486" s="135"/>
      <c r="G486" s="135"/>
      <c r="H486" s="135"/>
      <c r="I486" s="135"/>
      <c r="J486" s="81">
        <f>J485+J386</f>
        <v>10923.8034</v>
      </c>
      <c r="K486" s="82"/>
    </row>
    <row r="487" spans="1:11" ht="15">
      <c r="A487" s="136" t="s">
        <v>575</v>
      </c>
      <c r="B487" s="136"/>
      <c r="C487" s="136"/>
      <c r="D487" s="136"/>
      <c r="E487" s="136"/>
      <c r="F487" s="136"/>
      <c r="G487" s="136"/>
      <c r="H487" s="136"/>
      <c r="I487" s="136"/>
      <c r="J487" s="136"/>
      <c r="K487" s="84"/>
    </row>
    <row r="488" spans="1:20" ht="90">
      <c r="A488" s="137" t="s">
        <v>576</v>
      </c>
      <c r="B488" s="137"/>
      <c r="C488" s="85"/>
      <c r="D488" s="85"/>
      <c r="E488" s="85"/>
      <c r="F488" s="72" t="s">
        <v>577</v>
      </c>
      <c r="G488" s="72" t="s">
        <v>578</v>
      </c>
      <c r="H488" s="72" t="s">
        <v>579</v>
      </c>
      <c r="I488" s="86" t="s">
        <v>124</v>
      </c>
      <c r="J488" s="53" t="s">
        <v>8</v>
      </c>
      <c r="S488" s="4"/>
      <c r="T488" s="4"/>
    </row>
    <row r="489" spans="1:20" ht="51" customHeight="1">
      <c r="A489" s="138" t="s">
        <v>580</v>
      </c>
      <c r="B489" s="138"/>
      <c r="C489" s="85"/>
      <c r="D489" s="85"/>
      <c r="E489" s="85"/>
      <c r="F489" s="88">
        <f>1100-1</f>
        <v>1099</v>
      </c>
      <c r="G489" s="72" t="s">
        <v>581</v>
      </c>
      <c r="H489" s="68">
        <v>0.2</v>
      </c>
      <c r="I489" s="67">
        <f>F489*H489</f>
        <v>219.8</v>
      </c>
      <c r="J489" s="62" t="s">
        <v>132</v>
      </c>
      <c r="K489" s="75"/>
      <c r="T489" s="4"/>
    </row>
    <row r="490" spans="1:20" ht="89.25" customHeight="1">
      <c r="A490" s="138" t="s">
        <v>582</v>
      </c>
      <c r="B490" s="138"/>
      <c r="C490" s="85"/>
      <c r="D490" s="85"/>
      <c r="E490" s="85"/>
      <c r="F490" s="88">
        <f>1545-1</f>
        <v>1544</v>
      </c>
      <c r="G490" s="72" t="s">
        <v>581</v>
      </c>
      <c r="H490" s="68">
        <v>0.2</v>
      </c>
      <c r="I490" s="67">
        <f aca="true" t="shared" si="21" ref="I490:I512">F490*H490</f>
        <v>308.8</v>
      </c>
      <c r="J490" s="62" t="s">
        <v>132</v>
      </c>
      <c r="K490" s="75"/>
      <c r="T490" s="4"/>
    </row>
    <row r="491" spans="1:20" ht="51" customHeight="1">
      <c r="A491" s="138" t="s">
        <v>583</v>
      </c>
      <c r="B491" s="138"/>
      <c r="C491" s="85"/>
      <c r="D491" s="85"/>
      <c r="E491" s="85"/>
      <c r="F491" s="88">
        <f>4000-1</f>
        <v>3999</v>
      </c>
      <c r="G491" s="72" t="s">
        <v>581</v>
      </c>
      <c r="H491" s="68">
        <v>0.2</v>
      </c>
      <c r="I491" s="67">
        <f t="shared" si="21"/>
        <v>799.8000000000001</v>
      </c>
      <c r="J491" s="62" t="s">
        <v>132</v>
      </c>
      <c r="K491" s="75"/>
      <c r="T491" s="4"/>
    </row>
    <row r="492" spans="1:20" ht="25.5">
      <c r="A492" s="139" t="s">
        <v>584</v>
      </c>
      <c r="B492" s="139"/>
      <c r="C492" s="85"/>
      <c r="D492" s="85"/>
      <c r="E492" s="85"/>
      <c r="F492" s="73">
        <f>494-10-2-34</f>
        <v>448</v>
      </c>
      <c r="G492" s="72" t="s">
        <v>581</v>
      </c>
      <c r="H492" s="68">
        <v>0.2</v>
      </c>
      <c r="I492" s="67">
        <f t="shared" si="21"/>
        <v>89.60000000000001</v>
      </c>
      <c r="J492" s="62" t="s">
        <v>132</v>
      </c>
      <c r="K492" s="75"/>
      <c r="T492" s="4"/>
    </row>
    <row r="493" spans="1:20" ht="30.75" customHeight="1">
      <c r="A493" s="138" t="s">
        <v>585</v>
      </c>
      <c r="B493" s="138"/>
      <c r="C493" s="85"/>
      <c r="D493" s="85"/>
      <c r="E493" s="85"/>
      <c r="F493" s="73">
        <v>400</v>
      </c>
      <c r="G493" s="72" t="s">
        <v>581</v>
      </c>
      <c r="H493" s="68">
        <v>0.25</v>
      </c>
      <c r="I493" s="67">
        <f t="shared" si="21"/>
        <v>100</v>
      </c>
      <c r="J493" s="62" t="s">
        <v>132</v>
      </c>
      <c r="K493" s="75"/>
      <c r="T493" s="4"/>
    </row>
    <row r="494" spans="1:20" ht="35.25" customHeight="1">
      <c r="A494" s="138" t="s">
        <v>586</v>
      </c>
      <c r="B494" s="138"/>
      <c r="C494" s="85"/>
      <c r="D494" s="85"/>
      <c r="E494" s="85"/>
      <c r="F494" s="73">
        <v>750</v>
      </c>
      <c r="G494" s="72" t="s">
        <v>581</v>
      </c>
      <c r="H494" s="68">
        <v>0.25</v>
      </c>
      <c r="I494" s="67">
        <f t="shared" si="21"/>
        <v>187.5</v>
      </c>
      <c r="J494" s="62" t="s">
        <v>132</v>
      </c>
      <c r="K494" s="75"/>
      <c r="T494" s="4"/>
    </row>
    <row r="495" spans="1:20" ht="25.5">
      <c r="A495" s="139" t="s">
        <v>587</v>
      </c>
      <c r="B495" s="139"/>
      <c r="C495" s="85"/>
      <c r="D495" s="85"/>
      <c r="E495" s="85"/>
      <c r="F495" s="73">
        <v>240</v>
      </c>
      <c r="G495" s="72" t="s">
        <v>581</v>
      </c>
      <c r="H495" s="68">
        <v>0.25</v>
      </c>
      <c r="I495" s="67">
        <f t="shared" si="21"/>
        <v>60</v>
      </c>
      <c r="J495" s="62" t="s">
        <v>132</v>
      </c>
      <c r="K495" s="75"/>
      <c r="T495" s="4"/>
    </row>
    <row r="496" spans="1:20" ht="30.75" customHeight="1">
      <c r="A496" s="138" t="s">
        <v>588</v>
      </c>
      <c r="B496" s="138"/>
      <c r="C496" s="85"/>
      <c r="D496" s="85"/>
      <c r="E496" s="85"/>
      <c r="F496" s="73">
        <v>38</v>
      </c>
      <c r="G496" s="72" t="s">
        <v>581</v>
      </c>
      <c r="H496" s="68">
        <v>0.25</v>
      </c>
      <c r="I496" s="67">
        <f t="shared" si="21"/>
        <v>9.5</v>
      </c>
      <c r="J496" s="62" t="s">
        <v>132</v>
      </c>
      <c r="K496" s="75"/>
      <c r="T496" s="4"/>
    </row>
    <row r="497" spans="1:20" ht="38.25" customHeight="1">
      <c r="A497" s="138" t="s">
        <v>589</v>
      </c>
      <c r="B497" s="138"/>
      <c r="C497" s="85"/>
      <c r="D497" s="85"/>
      <c r="E497" s="85"/>
      <c r="F497" s="73">
        <v>109</v>
      </c>
      <c r="G497" s="72" t="s">
        <v>581</v>
      </c>
      <c r="H497" s="68">
        <v>0.25</v>
      </c>
      <c r="I497" s="67">
        <f t="shared" si="21"/>
        <v>27.25</v>
      </c>
      <c r="J497" s="62" t="s">
        <v>132</v>
      </c>
      <c r="K497" s="75"/>
      <c r="T497" s="4"/>
    </row>
    <row r="498" spans="1:20" ht="41.25" customHeight="1">
      <c r="A498" s="138" t="s">
        <v>589</v>
      </c>
      <c r="B498" s="138"/>
      <c r="C498" s="85"/>
      <c r="D498" s="85"/>
      <c r="E498" s="85"/>
      <c r="F498" s="73">
        <v>1350</v>
      </c>
      <c r="G498" s="72" t="s">
        <v>590</v>
      </c>
      <c r="H498" s="68">
        <v>0.15</v>
      </c>
      <c r="I498" s="67">
        <f t="shared" si="21"/>
        <v>202.5</v>
      </c>
      <c r="J498" s="62" t="s">
        <v>132</v>
      </c>
      <c r="K498" s="75"/>
      <c r="T498" s="4"/>
    </row>
    <row r="499" spans="1:20" ht="34.5" customHeight="1">
      <c r="A499" s="138" t="s">
        <v>591</v>
      </c>
      <c r="B499" s="138"/>
      <c r="C499" s="85"/>
      <c r="D499" s="85"/>
      <c r="E499" s="85"/>
      <c r="F499" s="73">
        <v>32</v>
      </c>
      <c r="G499" s="72" t="s">
        <v>581</v>
      </c>
      <c r="H499" s="68">
        <v>0.25</v>
      </c>
      <c r="I499" s="67">
        <f t="shared" si="21"/>
        <v>8</v>
      </c>
      <c r="J499" s="62" t="s">
        <v>132</v>
      </c>
      <c r="K499" s="75"/>
      <c r="T499" s="4"/>
    </row>
    <row r="500" spans="1:20" ht="39" customHeight="1">
      <c r="A500" s="138" t="s">
        <v>591</v>
      </c>
      <c r="B500" s="138"/>
      <c r="C500" s="85"/>
      <c r="D500" s="85"/>
      <c r="E500" s="85"/>
      <c r="F500" s="73">
        <v>550</v>
      </c>
      <c r="G500" s="72" t="s">
        <v>590</v>
      </c>
      <c r="H500" s="68">
        <v>0.25</v>
      </c>
      <c r="I500" s="67">
        <f t="shared" si="21"/>
        <v>137.5</v>
      </c>
      <c r="J500" s="62" t="s">
        <v>132</v>
      </c>
      <c r="K500" s="75"/>
      <c r="T500" s="4"/>
    </row>
    <row r="501" spans="1:20" ht="25.5">
      <c r="A501" s="139" t="s">
        <v>592</v>
      </c>
      <c r="B501" s="139"/>
      <c r="C501" s="85"/>
      <c r="D501" s="85"/>
      <c r="E501" s="85"/>
      <c r="F501" s="73">
        <v>830</v>
      </c>
      <c r="G501" s="72" t="s">
        <v>590</v>
      </c>
      <c r="H501" s="68">
        <v>0.25</v>
      </c>
      <c r="I501" s="67">
        <f t="shared" si="21"/>
        <v>207.5</v>
      </c>
      <c r="J501" s="62" t="s">
        <v>132</v>
      </c>
      <c r="K501" s="75"/>
      <c r="T501" s="4"/>
    </row>
    <row r="502" spans="1:20" ht="25.5">
      <c r="A502" s="139" t="s">
        <v>593</v>
      </c>
      <c r="B502" s="139"/>
      <c r="C502" s="85"/>
      <c r="D502" s="85"/>
      <c r="E502" s="85"/>
      <c r="F502" s="73">
        <v>278</v>
      </c>
      <c r="G502" s="72" t="s">
        <v>590</v>
      </c>
      <c r="H502" s="68">
        <v>0.25</v>
      </c>
      <c r="I502" s="67">
        <f t="shared" si="21"/>
        <v>69.5</v>
      </c>
      <c r="J502" s="62" t="s">
        <v>132</v>
      </c>
      <c r="K502" s="75"/>
      <c r="T502" s="4"/>
    </row>
    <row r="503" spans="1:20" ht="25.5">
      <c r="A503" s="139" t="s">
        <v>594</v>
      </c>
      <c r="B503" s="139"/>
      <c r="C503" s="85"/>
      <c r="D503" s="85"/>
      <c r="E503" s="85"/>
      <c r="F503" s="73">
        <v>750</v>
      </c>
      <c r="G503" s="72" t="s">
        <v>590</v>
      </c>
      <c r="H503" s="68">
        <v>0.1</v>
      </c>
      <c r="I503" s="67">
        <f t="shared" si="21"/>
        <v>75</v>
      </c>
      <c r="J503" s="62" t="s">
        <v>132</v>
      </c>
      <c r="K503" s="75"/>
      <c r="T503" s="4"/>
    </row>
    <row r="504" spans="1:20" ht="28.5" customHeight="1">
      <c r="A504" s="138" t="s">
        <v>595</v>
      </c>
      <c r="B504" s="138"/>
      <c r="C504" s="85"/>
      <c r="D504" s="85"/>
      <c r="E504" s="85"/>
      <c r="F504" s="73">
        <v>34</v>
      </c>
      <c r="G504" s="72" t="s">
        <v>581</v>
      </c>
      <c r="H504" s="68">
        <v>0.1</v>
      </c>
      <c r="I504" s="67">
        <f t="shared" si="21"/>
        <v>3.4000000000000004</v>
      </c>
      <c r="J504" s="62" t="s">
        <v>132</v>
      </c>
      <c r="K504" s="75"/>
      <c r="T504" s="4"/>
    </row>
    <row r="505" spans="1:20" ht="39" customHeight="1">
      <c r="A505" s="138" t="s">
        <v>596</v>
      </c>
      <c r="B505" s="138"/>
      <c r="C505" s="85"/>
      <c r="D505" s="85"/>
      <c r="E505" s="85"/>
      <c r="F505" s="73">
        <v>450</v>
      </c>
      <c r="G505" s="72" t="s">
        <v>581</v>
      </c>
      <c r="H505" s="68">
        <v>0.3</v>
      </c>
      <c r="I505" s="67">
        <f t="shared" si="21"/>
        <v>135</v>
      </c>
      <c r="J505" s="62" t="s">
        <v>132</v>
      </c>
      <c r="K505" s="75"/>
      <c r="T505" s="4"/>
    </row>
    <row r="506" spans="1:20" ht="24.75" customHeight="1">
      <c r="A506" s="138" t="s">
        <v>597</v>
      </c>
      <c r="B506" s="138"/>
      <c r="C506" s="72"/>
      <c r="D506" s="72"/>
      <c r="E506" s="72"/>
      <c r="F506" s="87">
        <v>200</v>
      </c>
      <c r="G506" s="72" t="s">
        <v>581</v>
      </c>
      <c r="H506" s="68">
        <v>0.3</v>
      </c>
      <c r="I506" s="67">
        <f t="shared" si="21"/>
        <v>60</v>
      </c>
      <c r="J506" s="61" t="s">
        <v>132</v>
      </c>
      <c r="K506" s="89"/>
      <c r="T506" s="4"/>
    </row>
    <row r="507" spans="1:20" ht="19.5" customHeight="1">
      <c r="A507" s="138" t="s">
        <v>598</v>
      </c>
      <c r="B507" s="138"/>
      <c r="C507" s="72"/>
      <c r="D507" s="72"/>
      <c r="E507" s="72"/>
      <c r="F507" s="87">
        <v>200</v>
      </c>
      <c r="G507" s="72" t="s">
        <v>581</v>
      </c>
      <c r="H507" s="68">
        <v>0.3</v>
      </c>
      <c r="I507" s="67">
        <f t="shared" si="21"/>
        <v>60</v>
      </c>
      <c r="J507" s="61" t="s">
        <v>132</v>
      </c>
      <c r="K507" s="89"/>
      <c r="T507" s="4"/>
    </row>
    <row r="508" spans="1:20" ht="21" customHeight="1">
      <c r="A508" s="138" t="s">
        <v>599</v>
      </c>
      <c r="B508" s="138"/>
      <c r="C508" s="72"/>
      <c r="D508" s="72"/>
      <c r="E508" s="72"/>
      <c r="F508" s="87">
        <v>80</v>
      </c>
      <c r="G508" s="72" t="s">
        <v>581</v>
      </c>
      <c r="H508" s="68">
        <v>0.1</v>
      </c>
      <c r="I508" s="67">
        <f t="shared" si="21"/>
        <v>8</v>
      </c>
      <c r="J508" s="61" t="s">
        <v>132</v>
      </c>
      <c r="K508" s="89"/>
      <c r="T508" s="4"/>
    </row>
    <row r="509" spans="1:20" ht="19.5" customHeight="1">
      <c r="A509" s="139" t="s">
        <v>600</v>
      </c>
      <c r="B509" s="139"/>
      <c r="C509" s="85"/>
      <c r="D509" s="85"/>
      <c r="E509" s="85"/>
      <c r="F509" s="88">
        <v>2500</v>
      </c>
      <c r="G509" s="72" t="s">
        <v>581</v>
      </c>
      <c r="H509" s="68">
        <v>0.1</v>
      </c>
      <c r="I509" s="67">
        <f t="shared" si="21"/>
        <v>250</v>
      </c>
      <c r="J509" s="62" t="s">
        <v>132</v>
      </c>
      <c r="K509" s="75"/>
      <c r="T509" s="4"/>
    </row>
    <row r="510" spans="1:20" ht="23.25" customHeight="1">
      <c r="A510" s="138" t="s">
        <v>601</v>
      </c>
      <c r="B510" s="138"/>
      <c r="C510" s="85"/>
      <c r="D510" s="85"/>
      <c r="E510" s="85"/>
      <c r="F510" s="73">
        <f>390-15-20-60-30-250</f>
        <v>15</v>
      </c>
      <c r="G510" s="72" t="s">
        <v>581</v>
      </c>
      <c r="H510" s="68">
        <v>0.1</v>
      </c>
      <c r="I510" s="67">
        <f t="shared" si="21"/>
        <v>1.5</v>
      </c>
      <c r="J510" s="62" t="s">
        <v>132</v>
      </c>
      <c r="K510" s="75"/>
      <c r="T510" s="4"/>
    </row>
    <row r="511" spans="1:20" ht="27.75" customHeight="1">
      <c r="A511" s="138" t="s">
        <v>602</v>
      </c>
      <c r="B511" s="138"/>
      <c r="C511" s="85"/>
      <c r="D511" s="85"/>
      <c r="E511" s="85"/>
      <c r="F511" s="73">
        <v>376</v>
      </c>
      <c r="G511" s="72" t="s">
        <v>581</v>
      </c>
      <c r="H511" s="68">
        <v>0.1</v>
      </c>
      <c r="I511" s="67">
        <f t="shared" si="21"/>
        <v>37.6</v>
      </c>
      <c r="J511" s="62" t="s">
        <v>132</v>
      </c>
      <c r="K511" s="75"/>
      <c r="T511" s="4"/>
    </row>
    <row r="512" spans="1:20" ht="25.5">
      <c r="A512" s="139" t="s">
        <v>603</v>
      </c>
      <c r="B512" s="139"/>
      <c r="C512" s="85"/>
      <c r="D512" s="85"/>
      <c r="E512" s="85"/>
      <c r="F512" s="73">
        <v>840</v>
      </c>
      <c r="G512" s="72" t="s">
        <v>581</v>
      </c>
      <c r="H512" s="68">
        <v>0.1</v>
      </c>
      <c r="I512" s="67">
        <f t="shared" si="21"/>
        <v>84</v>
      </c>
      <c r="J512" s="62" t="s">
        <v>132</v>
      </c>
      <c r="K512" s="75"/>
      <c r="T512" s="4"/>
    </row>
    <row r="513" spans="1:20" s="48" customFormat="1" ht="18.75" customHeight="1">
      <c r="A513" s="134" t="s">
        <v>604</v>
      </c>
      <c r="B513" s="134"/>
      <c r="C513" s="83"/>
      <c r="D513" s="83"/>
      <c r="E513" s="83"/>
      <c r="F513" s="90">
        <f>SUM(F489:F512)</f>
        <v>17112</v>
      </c>
      <c r="G513" s="91"/>
      <c r="H513" s="92"/>
      <c r="I513" s="93">
        <f>SUM(I489:I512)</f>
        <v>3141.75</v>
      </c>
      <c r="J513" s="81"/>
      <c r="K513" s="94"/>
      <c r="L513" s="45"/>
      <c r="M513" s="45"/>
      <c r="N513" s="45"/>
      <c r="O513" s="45"/>
      <c r="P513" s="45"/>
      <c r="Q513" s="45"/>
      <c r="R513" s="45"/>
      <c r="S513" s="45"/>
      <c r="T513" s="45"/>
    </row>
    <row r="514" spans="1:20" s="39" customFormat="1" ht="29.25" customHeight="1">
      <c r="A514" s="142" t="s">
        <v>605</v>
      </c>
      <c r="B514" s="143"/>
      <c r="C514" s="143"/>
      <c r="D514" s="143"/>
      <c r="E514" s="143"/>
      <c r="F514" s="143"/>
      <c r="G514" s="143"/>
      <c r="H514" s="143"/>
      <c r="I514" s="95">
        <f>H101+H106+J386+J485+I513</f>
        <v>19510.8534</v>
      </c>
      <c r="J514" s="95"/>
      <c r="K514" s="96"/>
      <c r="L514" s="38"/>
      <c r="M514" s="38"/>
      <c r="N514" s="38"/>
      <c r="O514" s="38"/>
      <c r="P514" s="38"/>
      <c r="Q514" s="38"/>
      <c r="R514" s="38"/>
      <c r="S514" s="38"/>
      <c r="T514" s="38"/>
    </row>
    <row r="515" ht="25.5" customHeight="1"/>
    <row r="517" spans="1:5" ht="15.75">
      <c r="A517" s="144" t="s">
        <v>606</v>
      </c>
      <c r="B517" s="97" t="s">
        <v>607</v>
      </c>
      <c r="C517" s="97"/>
      <c r="D517" s="97"/>
      <c r="E517" s="97"/>
    </row>
    <row r="518" spans="1:21" s="3" customFormat="1" ht="15.75">
      <c r="A518" s="144"/>
      <c r="B518" s="97" t="s">
        <v>608</v>
      </c>
      <c r="C518" s="97"/>
      <c r="D518" s="97"/>
      <c r="E518" s="97"/>
      <c r="F518" s="5"/>
      <c r="G518" s="7"/>
      <c r="U518" s="4"/>
    </row>
    <row r="519" spans="1:21" s="3" customFormat="1" ht="15.75">
      <c r="A519" s="144"/>
      <c r="B519" s="97" t="s">
        <v>609</v>
      </c>
      <c r="C519" s="97"/>
      <c r="D519" s="97"/>
      <c r="E519" s="97"/>
      <c r="F519" s="5"/>
      <c r="G519" s="7"/>
      <c r="U519" s="4"/>
    </row>
    <row r="520" spans="1:21" s="3" customFormat="1" ht="12.75">
      <c r="A520" s="4"/>
      <c r="B520" s="4"/>
      <c r="C520" s="5"/>
      <c r="D520" s="4"/>
      <c r="E520" s="6"/>
      <c r="F520" s="5"/>
      <c r="G520" s="7"/>
      <c r="U520" s="4"/>
    </row>
    <row r="523" spans="2:8" ht="12.75">
      <c r="B523" s="98" t="s">
        <v>610</v>
      </c>
      <c r="C523" s="98"/>
      <c r="E523" s="99"/>
      <c r="F523" s="99"/>
      <c r="G523" s="140" t="s">
        <v>611</v>
      </c>
      <c r="H523" s="140"/>
    </row>
    <row r="529" spans="2:8" ht="12.75">
      <c r="B529" s="98" t="s">
        <v>612</v>
      </c>
      <c r="C529" s="98"/>
      <c r="G529" s="141" t="s">
        <v>613</v>
      </c>
      <c r="H529" s="141"/>
    </row>
  </sheetData>
  <sheetProtection/>
  <mergeCells count="105">
    <mergeCell ref="G523:H523"/>
    <mergeCell ref="G529:H529"/>
    <mergeCell ref="A512:B512"/>
    <mergeCell ref="A513:B513"/>
    <mergeCell ref="A514:H514"/>
    <mergeCell ref="A517:A519"/>
    <mergeCell ref="A508:B508"/>
    <mergeCell ref="A509:B509"/>
    <mergeCell ref="A510:B510"/>
    <mergeCell ref="A511:B511"/>
    <mergeCell ref="A504:B504"/>
    <mergeCell ref="A505:B505"/>
    <mergeCell ref="A506:B506"/>
    <mergeCell ref="A507:B507"/>
    <mergeCell ref="A500:B500"/>
    <mergeCell ref="A501:B501"/>
    <mergeCell ref="A502:B502"/>
    <mergeCell ref="A503:B503"/>
    <mergeCell ref="A496:B496"/>
    <mergeCell ref="A497:B497"/>
    <mergeCell ref="A498:B498"/>
    <mergeCell ref="A499:B499"/>
    <mergeCell ref="A492:B492"/>
    <mergeCell ref="A493:B493"/>
    <mergeCell ref="A494:B494"/>
    <mergeCell ref="A495:B495"/>
    <mergeCell ref="A488:B488"/>
    <mergeCell ref="A489:B489"/>
    <mergeCell ref="A490:B490"/>
    <mergeCell ref="A491:B491"/>
    <mergeCell ref="A387:K387"/>
    <mergeCell ref="A485:C485"/>
    <mergeCell ref="A486:I486"/>
    <mergeCell ref="A487:J487"/>
    <mergeCell ref="A106:B106"/>
    <mergeCell ref="A108:K108"/>
    <mergeCell ref="A109:K109"/>
    <mergeCell ref="A386:C386"/>
    <mergeCell ref="A100:B100"/>
    <mergeCell ref="C100:D100"/>
    <mergeCell ref="A101:F101"/>
    <mergeCell ref="A102:I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46:I46"/>
    <mergeCell ref="A72:B72"/>
    <mergeCell ref="A73:I73"/>
    <mergeCell ref="A74:B74"/>
    <mergeCell ref="G74:G75"/>
    <mergeCell ref="H74:H75"/>
    <mergeCell ref="I74:I75"/>
    <mergeCell ref="A75:B75"/>
    <mergeCell ref="A34:I34"/>
    <mergeCell ref="C35:E35"/>
    <mergeCell ref="A42:I42"/>
    <mergeCell ref="C43:E43"/>
    <mergeCell ref="A20:I20"/>
    <mergeCell ref="B21:F21"/>
    <mergeCell ref="G21:G23"/>
    <mergeCell ref="H21:H23"/>
    <mergeCell ref="I21:I23"/>
    <mergeCell ref="A22:A23"/>
    <mergeCell ref="C22:D22"/>
    <mergeCell ref="A16:B16"/>
    <mergeCell ref="A17:B17"/>
    <mergeCell ref="A18:B18"/>
    <mergeCell ref="A19:B19"/>
    <mergeCell ref="A12:B12"/>
    <mergeCell ref="A13:B13"/>
    <mergeCell ref="A14:B14"/>
    <mergeCell ref="A15:B15"/>
    <mergeCell ref="A8:B8"/>
    <mergeCell ref="A9:B9"/>
    <mergeCell ref="A10:B10"/>
    <mergeCell ref="A11:B11"/>
    <mergeCell ref="A5:I5"/>
    <mergeCell ref="A6:B6"/>
    <mergeCell ref="D6:E6"/>
    <mergeCell ref="A7:B7"/>
    <mergeCell ref="A1:K1"/>
    <mergeCell ref="A2:K2"/>
    <mergeCell ref="A3:K3"/>
    <mergeCell ref="A4:I4"/>
  </mergeCells>
  <printOptions/>
  <pageMargins left="0.15748031496062992" right="0.15748031496062992" top="0.3937007874015748" bottom="0.3937007874015748" header="0.1968503937007874" footer="0.1968503937007874"/>
  <pageSetup horizontalDpi="600" verticalDpi="600" orientation="landscape" paperSize="9" scale="5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2018-07-20T09:38:43Z</cp:lastPrinted>
  <dcterms:created xsi:type="dcterms:W3CDTF">2012-08-21T10:01:23Z</dcterms:created>
  <dcterms:modified xsi:type="dcterms:W3CDTF">2018-07-20T09:48:16Z</dcterms:modified>
  <cp:category/>
  <cp:version/>
  <cp:contentType/>
  <cp:contentStatus/>
</cp:coreProperties>
</file>