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tabRatio="603" firstSheet="2" activeTab="2"/>
  </bookViews>
  <sheets>
    <sheet name=" ΑΠΟΓΡΑΦΗ ΕΜΠΟΡ. 21.08.2018" sheetId="1" r:id="rId1"/>
    <sheet name="ΑΠΟΓΡΑΦΗ ΜΕΤΑ ΤΗΝ ΠΩΛΗΣΗ ΣΕ ΝΜΑ" sheetId="2" r:id="rId2"/>
    <sheet name="ΠΡΟΣΚΛΗΣΗ 29.05.2020(-10%)" sheetId="3" r:id="rId3"/>
  </sheets>
  <definedNames>
    <definedName name="_xlnm.Print_Area" localSheetId="0">' ΑΠΟΓΡΑΦΗ ΕΜΠΟΡ. 21.08.2018'!#REF!</definedName>
    <definedName name="_xlnm.Print_Area" localSheetId="1">'ΑΠΟΓΡΑΦΗ ΜΕΤΑ ΤΗΝ ΠΩΛΗΣΗ ΣΕ ΝΜΑ'!#REF!</definedName>
    <definedName name="_xlnm.Print_Area" localSheetId="2">'ΠΡΟΣΚΛΗΣΗ 29.05.2020(-10%)'!$A$1:$N$331</definedName>
  </definedNames>
  <calcPr fullCalcOnLoad="1"/>
</workbook>
</file>

<file path=xl/sharedStrings.xml><?xml version="1.0" encoding="utf-8"?>
<sst xmlns="http://schemas.openxmlformats.org/spreadsheetml/2006/main" count="5396" uniqueCount="524">
  <si>
    <t xml:space="preserve">ΑΠΟΓΡΑΦΗ ΕΜΠΟΡΕΥΜΑΤΩΝ -ΕΚΔΟΣΕΩΝ </t>
  </si>
  <si>
    <t xml:space="preserve">ΠΡΟΪΟΝΤΑ ΑΝΑ ΚΩΔΙΚΟ ΕΙΔΟΥΣ ΓΙΑ ΠΩΛΗΤΗΡΙΑ </t>
  </si>
  <si>
    <t>Κωδικός Προϊόντος</t>
  </si>
  <si>
    <t>Τίτλος  στα Ελληνικά</t>
  </si>
  <si>
    <t>ΠΕΡΙΓΡΑΦΗ ΚΑΙ ΧΑΡΑΚΤΗΡΙΣΤΙΚΑ ΑΝΑ ΕΙΔΟΣ</t>
  </si>
  <si>
    <t>Κόστος Μονάδος χωρίς ΦΠΑ:</t>
  </si>
  <si>
    <t xml:space="preserve"> ΤΕΜΑΧΙΑ</t>
  </si>
  <si>
    <t xml:space="preserve">ΣΥΝΟΛΟ ΑΞΙΑΣ ΕΜΠΟΡΕΥΜΑΤΩΝ </t>
  </si>
  <si>
    <t>Εκτιμώμενο Σημερινό Κόστος Προ Φπα</t>
  </si>
  <si>
    <t xml:space="preserve">ΓΕΝΙΚΟ ΣΥΝΟΛΟ ΠΡΟ ΦΠΑ </t>
  </si>
  <si>
    <t>ΠΑΛΑΙΟΤΗΤΑ     ΛΕΙΤΟΥΡΓΙΚΗ ΚΑΤΑΣΤΑΣΗ (*)</t>
  </si>
  <si>
    <t>ΠΗΛΙΝΟΣ ΔΙΣΚΟΣ ΦΑΙΣΤΟΥ</t>
  </si>
  <si>
    <t>Πιστά Αντίγραφα</t>
  </si>
  <si>
    <t>Κεραμικά</t>
  </si>
  <si>
    <t>Αντίγραφα</t>
  </si>
  <si>
    <t>A</t>
  </si>
  <si>
    <t>ΜΥΚΗΝΑΙΚΟ ΕΙΔΩΛΙΟ ΤΥΠΟΥ Ψ</t>
  </si>
  <si>
    <t>Ειδώλιο</t>
  </si>
  <si>
    <t>Α</t>
  </si>
  <si>
    <t>ΑΓΑΛΜΑΤΙΟ ΚΟΥΡΟΥ</t>
  </si>
  <si>
    <t>Μεταλλικά</t>
  </si>
  <si>
    <t>ΑΓΑΛΜΑΤΙΟ ΑΝΤΡΙΚΗΣ ΜΟΡΦΗΣ</t>
  </si>
  <si>
    <t>ΠΡΟΤΟΜΗ ΣΚΥΛΟΥ</t>
  </si>
  <si>
    <t>ΚΕΦΑΛΙ ΤΟΥ ΗΡΑΚΛΗ ΜΕ ΛΕΟΝΤΗ</t>
  </si>
  <si>
    <t>Κεφαλή</t>
  </si>
  <si>
    <t>ΛΥΧΝΟΣ ΣΕ ΣΧΗΜΑ ΠΛΟΙΟΥ</t>
  </si>
  <si>
    <t>ΑΝΑΘΗΜΑΤΙΚΟ ΑΝΑΓΛΥΦΟ ΣΚΕΠΤΟΜΕΝΗ ΑΘΗΝΑ</t>
  </si>
  <si>
    <t>Ανάγλυφο</t>
  </si>
  <si>
    <t>ΑΝΑΓΛΥΦΟ ΜΕ ΠΑΡΑΣΤΑΣΗ ΑΘΗΝΑΪΚΗΣ ΤΡΙΗΡΟΥΣ (ΠΟΛΕΜΙΚΟ ΠΛΟΙΟ)</t>
  </si>
  <si>
    <t>ΘΡΑΥΣΜΑ ΑΝΑΘΗΜΑΤΙΚΟΥ ΑΝΑΓΛΥΦΟΥ ΜΕ ΠΑΡΑΣΤΑΣΗ ΑΣΚΛΗΠΙΟΥ</t>
  </si>
  <si>
    <t>ΚΑΛΥΜΜΑ ΚΑΘΡΕΦΤΗ</t>
  </si>
  <si>
    <t>ΚΕΦΑΛΙ  ΤΗΣ ΥΓΕΙΑΣ (ΑΠΟ ΤΗΝ ΤΕΓΕΑ)</t>
  </si>
  <si>
    <t>ΑΝΑΘΗΜΑΤΙΚΟ ΑΝΑΓΛΥΦΟ (ΠΟΙΗΤΗΣ)</t>
  </si>
  <si>
    <t>ΓΥΝΑΙΚΕΙΟ ΕΙΔΩΛΙΟ</t>
  </si>
  <si>
    <t>ΒΑΣΗ ΚΑΘΡΕΦΤΗ ΜΕ ΓΥΝΑΙΚΕΙΑ ΜΟΡΦΗ</t>
  </si>
  <si>
    <t>ΑΦΡΟΔΙΤΗ ΠΑΝΩ ΣΕ ΔΕΛΦΙΝΙ</t>
  </si>
  <si>
    <t>Άγαλμα</t>
  </si>
  <si>
    <t>ΤΜΗΜΑ ΕΙΔΩΛΙΟΥ ΓΥΝΑΙΚΕΙΑΣ ΜΟΡΦΗΣ, ΙΣΩΣ ΝΙΚΗΣ</t>
  </si>
  <si>
    <t>ΕΙΔΩΛΙΟ ΛΑΓΟΥ</t>
  </si>
  <si>
    <t>ΕΠΙΤΥΜΒΙΑ ΣΤΗΛΗ ΜΕ ΠΑΡΑΣΤΑΣΗ ΨΑΡΑ</t>
  </si>
  <si>
    <t>ΕΙΔΩΛΙΟ ΤΕΛΕΣΦΟΡΟΥ</t>
  </si>
  <si>
    <t>ΣΥΜΠΛΕΓΜΑ  ΕΡΩΤΑ ΚΑΙ ΨΥΧΗΣ</t>
  </si>
  <si>
    <t>ΑΝΑΓΛΥΦΟ ΗΡΩΑ-ΙΠΠΕΑ</t>
  </si>
  <si>
    <t>ΠΥΞΙΔΑ</t>
  </si>
  <si>
    <t>ΚΕΦΑΛΙ ΚΥΚΛΑΔΙΚΟΥ ΕΙΔΩΛΙΟΥ</t>
  </si>
  <si>
    <t>ΕΙΔΩΛΙΟ ΛΑΤΡΗ</t>
  </si>
  <si>
    <t>ΤΟΙΧΟΓΡΑΦΙΑ ΠΑΡΙΖΙΑΝΑ</t>
  </si>
  <si>
    <t>Τοιχογραφίες</t>
  </si>
  <si>
    <t>ΤΟΙΧΟΓΡΑΦΙΑ ΛΕΥΚΟ ΠΕΡΙΣΤΕΡΙ</t>
  </si>
  <si>
    <t>ΤΟΙΧΟΓΡΑΦΙΑ ΠΡΟΤΟΜΗ ΑΦΡΟΔΙΤΗΣ</t>
  </si>
  <si>
    <t>ΤΟΙΧΟΓΡΑΦΙΑ ΧΕΛΙΔΟΝΟΨΑΡΑ</t>
  </si>
  <si>
    <t>ΑΡΓΥΡΟΣ ΣΤΑΤΗΡΑΣ ΓΟΡΤΥΝΑΣ</t>
  </si>
  <si>
    <t>Νομίσματα</t>
  </si>
  <si>
    <t>ΑΡΓΥΡΗ ΔΡΑΧΜΗ ΤΕΝΕΔΟΥ</t>
  </si>
  <si>
    <t>ΑΡΓΥΡΟ ΤΕΤΡΑΔΡΑΧΜΟ - ΚΟΙΝΟΝ ΧΑΛΚΙΔΕΩΝ</t>
  </si>
  <si>
    <t>ΑΡΓΥΡΟΣ ΣΤΑΤΗΡΑΣ ΔΗΛΟΥ</t>
  </si>
  <si>
    <t>ΧΡΥΣΟΣ ΣΤΑΤΗΡΑΣ ΦΙΛΙΠΠΟΥ Β</t>
  </si>
  <si>
    <t>ΧΡΥΣΟΣ ΣΤΑΤΗΡΑΣ ΜΕΓΑΛΟΥ ΑΛΕΞΑΝΔΡΟΥ</t>
  </si>
  <si>
    <t>ΑΡΓΥΡΟΣ ΣΤΑΤΗΡΑΣ ΣΕΡΙΦΟΥ.</t>
  </si>
  <si>
    <t>ΑΡΓΥΡΟΣ ΣΤΑΤΗΡΑΣ ΛΥΤΤΟΥ.</t>
  </si>
  <si>
    <t>ΑΡΓΥΡΟΣ ΣΤΑΤΗΡΑΣ ΑΙΓΙΝΑΣ</t>
  </si>
  <si>
    <t>ΑΡΓΥΡΟΣ ΣΤΑΤΗΡΑΣ ΠΑΡΟΥ</t>
  </si>
  <si>
    <t>ΑΡΓΥΡΗ ΔΡΑΧΜΗ ΣΙΦΝΟΥ</t>
  </si>
  <si>
    <t>ΑΡΓΥΡΟ ΤΕΤΡΑΔΡΑΧΜΟ ΣΑΜΟΥ</t>
  </si>
  <si>
    <t>ΑΡΓΥΡΟΣ ΣΤΑΤΗΡΑΣ ΧΙΟΥ</t>
  </si>
  <si>
    <t>ΑΡΓΥΡΟ ΤΡΙΩΒΟΛΟ ΤΗΝΟΥ</t>
  </si>
  <si>
    <t>ΑΡΓΥΡΟΣ ΣΤΑΤΗΡΑΣ ΚΑΡΠΑΘΟΥ</t>
  </si>
  <si>
    <t>ΑΡΓΥΡΟΣ ΣΤΑΤΗΡΑΣ ΜΗΛΟΥ</t>
  </si>
  <si>
    <t>ΚΥΚΛΑΔΙΚΟ ΕΙΔΩΛΙΟ ΑΥΛΗΤΗ</t>
  </si>
  <si>
    <t>ΤΟΙΧΟΓΡΑΦΙΑ "ΧΕΛΙΔΟΝΙ ΠΟΥ ΠΕΤΑΕΙ"</t>
  </si>
  <si>
    <t>ΤΟΙΧΟΓΡΑΦΙΑ "ΑΓΡΙΟΠΑΠΙΑ"</t>
  </si>
  <si>
    <t>ΑΛΟΓΟ ΚΑΙ ΑΝΑΒΑΤΗΣ</t>
  </si>
  <si>
    <t>ΚΟΡΙΝΘΙΑΚΟΣ ΑΡΥΒΑΛΛΟΣ</t>
  </si>
  <si>
    <t>ΔΙΠΛΗ ΠΕΡΟΝΗ ΜΕ ΚΕΦΑΛΗ ΡΟΔΑΚΑ
 (ΑΣΗΜΙ ΚΑΙ ΕΠΙΧΡΥΣΩΜΕΝΟ ΑΣΗΜΙ)</t>
  </si>
  <si>
    <t>Κοσμήματα</t>
  </si>
  <si>
    <t>Καρφίτσα</t>
  </si>
  <si>
    <t>ΔΙΠΛΗ ΠΕΡΟΝΗ ΜΕ ΑΛΥΣΙΔΕΣ (ΑΣΗΜΙ)</t>
  </si>
  <si>
    <t>Περόνη</t>
  </si>
  <si>
    <t>ΔΙΠΛΗ ΠΕΡΟΝΗ (ΑΣΗΜΙ)</t>
  </si>
  <si>
    <t>ΔΑΚΤΥΛΙΔΙ ΜΙΚΡΟΓΡΑΦΙΑ ΑΣΗΜΕΝΙΟΥ ΠΡΟΪΣΤΟΡΙΚΟΥ ΒΡΑΧΙΟΛΙΟΥ (ΑΣΗΜΙ)</t>
  </si>
  <si>
    <t>Δαχτυλίδι</t>
  </si>
  <si>
    <t>ΖΩΝΗ (ΕΠΙΧΡΥΣΩΜΕΝΟ ΑΣΗΜΙ)</t>
  </si>
  <si>
    <t>Ζώνη</t>
  </si>
  <si>
    <t>ΣΥΜΠΛΕΓΜΑ ΦΟΡΑΔΑΣ - ΠΩΛΟΥ</t>
  </si>
  <si>
    <t>ΙΠΠΟΣ (ΟΡΕΙΧΑΛΚΟΣ)</t>
  </si>
  <si>
    <t>ΠΗΛΙΝΟ ΡΟΔΙ.</t>
  </si>
  <si>
    <t>ΑΡΓΥΡΗ ΔΡΑΧΜΗ ΘΑΣΟΥ.</t>
  </si>
  <si>
    <t>ΑΡΓΥΡΟΣ ΣΤΑΤΗΡΑΣ ΝΑΞΟΥ.</t>
  </si>
  <si>
    <t>ΑΡΓΥΡΟ ΤΕΤΡΑΔΡΑΧΜΟΝ ΡΟΔΟΥ.</t>
  </si>
  <si>
    <t>ΑΡΓΥΡΟΣ ΣΤΑΤΗΡΑΣ ΛΕΣΒΟΥ, ΑΝΤΙΓΡΑΦΟ ΣΕ ΑΣΗΜΙ</t>
  </si>
  <si>
    <t>ΑΡΓΥΡΟΣ ΣΤΑΤΗΡΑΣ ΚΟΡΙΝΘΟΥ.</t>
  </si>
  <si>
    <t>ΑΡΓΥΡΟ GROSSO RANIERI ZENO (ΔΟΓΗΣ ΒΕΝΕΤΙΑΣ).</t>
  </si>
  <si>
    <t>ΑΡΓΥΡΟΣ ΣΤΑΤΗΡΑΣ - ΚΟΙΝΟΝ ΒΟΙΩΤΩΝ</t>
  </si>
  <si>
    <t>ΑΡΓΥΡΟ ΤΡΙΩΒΟΛΟ - ΑΧΑΪΚΗ ΣΥΜΠΟΛΙΤΕΙΑ</t>
  </si>
  <si>
    <t>ΑΡΓΥΡΟ ΤΕΤΡΑΔΡΑΧΜΟ - ΑΙΤΩΛΙΚΗ ΣΥΜΠΟΛΙΤΕΙΑ</t>
  </si>
  <si>
    <t>ΑΡΓΥΡΟ ΗΜΙΣΤΑΤΗΡΟ - ΚΟΙΝΟΝ ΗΠΕΙΡΩΤΩΝ</t>
  </si>
  <si>
    <t>ΑΡΓΥΡΟΣ ΣΤΑΤΗΡΑΣ - ΚΟΙΝΟΝ ΘΕΣΣΑΛΩΝ</t>
  </si>
  <si>
    <t>ΠΕΡΙΑΠΤΟ (ΑΣΗΜΙ)</t>
  </si>
  <si>
    <t>Περίαπτο</t>
  </si>
  <si>
    <t>ΕΙΔΩΛΙΟΣΧΗΜΟ ΠΕΡΙΑΠΤΟ (ΑΣΗΜΙ)</t>
  </si>
  <si>
    <t>ΚΩΜΙΚΟ ΠΡΟΣΩΠΕΙΟ.</t>
  </si>
  <si>
    <t>ΤΡΑΓΙΚΟ ΠΡΟΣΩΠΕΙΟ.</t>
  </si>
  <si>
    <t>ΜΕΛΑΝΟΜΟΡΦΗ ΑΤΤΙΚΗ ΛΗΚΥΘΟΣ</t>
  </si>
  <si>
    <t>Αγγείο</t>
  </si>
  <si>
    <t>ΝΜΑ ΚΟΝΤΟΜΑΝΙΚΟ ΖΩΑ ΠΙΣΩ ΜΠΡΟΣΤΑ ΚΟΚΚΙΝΟ-ΜΑΥΡΟ ΝΟ13</t>
  </si>
  <si>
    <t>ΝΜΑ ΚΟΝΤΟΜΑΝΙΚΟ ACROPOLIS KIDS ΛΕΥΚΟ ΝΟ16</t>
  </si>
  <si>
    <t>ΝΜΑ ΚΑΡΦΙΤΣΕΣ ΦΙΔΙΟΥ</t>
  </si>
  <si>
    <t>ΝΜΑ ΚΑΡΦΙΤΣΕΣ ΡΟΔΙΟΥ</t>
  </si>
  <si>
    <t>ΝΜΑ Μεγάλες Στιγμές της Ελληνικής Αρχαιολογίας</t>
  </si>
  <si>
    <t>ΕΚΔΟΣΕΙΣ</t>
  </si>
  <si>
    <t>ΛΕΥΚΩΜΑ</t>
  </si>
  <si>
    <t>ΕΛΛΗΝΙΚΑ</t>
  </si>
  <si>
    <t>ΝΜΑ Πολεοδομική Εξέλιξις των Αθηνών-Από των προιστορικων  χρόνων μέχρι των αρχών του 19ου αιώνος</t>
  </si>
  <si>
    <t>ΝΜΑ Αθήνα - Ένα όραμα του κλασικισμού</t>
  </si>
  <si>
    <t>ΝΜΑ Ελλάδος Περιήγησης / Fred. Boissona</t>
  </si>
  <si>
    <t>ΝΜΑ Ελλάδα Διαδρομή Αιώνων</t>
  </si>
  <si>
    <t>ΕΛΛ/ΑΓΓ-ΔΙΓΛΩΣΣΟ</t>
  </si>
  <si>
    <t>ΝΜΑ Τα Γλυπτά του Παρθενώνα</t>
  </si>
  <si>
    <t>ΝΜΑ Το Αρχαιο Θέατρο του Διονύσου</t>
  </si>
  <si>
    <t>ΝΜΑ Εικόνες της Ελλάδας, Γή</t>
  </si>
  <si>
    <t>ΝΜΑ Η Ζωφόρος του Παρθενώνα</t>
  </si>
  <si>
    <t>ΑΓΓΛΙΚΑ</t>
  </si>
  <si>
    <t>ΝΜΑ Η Αθήνα κατά την Ρωμαική Εποχή, Σταύρος Βλίζος</t>
  </si>
  <si>
    <t>ΕΛΛ/ΑΓΓ/ΓΕΡ-ΤΡΙΓΛΩΣΣΟ</t>
  </si>
  <si>
    <t>ΝΜΑ Η Δημιουργική Φωτογραφία στην Αρχαιολογία</t>
  </si>
  <si>
    <t>ΝΜΑ Αθήνα 1839-1900, Φωτογραφικές Μαρτυρίες  / ΠΑΝΟΔΕΤΟ</t>
  </si>
  <si>
    <t>ΝΜΑ Αρχαία Ελληνική Γλυπτική - Αφιέρωμα στη μνήμη του γλύπτη Στέλιου Τριάντη</t>
  </si>
  <si>
    <t>ΕΛΛ/ΓΑΛ/ΓΕΡ/ΙΤΑΛ-ΤΕΤΡΑΓΛΩΣΣΟ</t>
  </si>
  <si>
    <t xml:space="preserve">ΝΜΑ ΔΑΧΤΥΛΙΔΙ ΘΡΑΥΣΜΑΤΑ ΜΕΣΑΙΟ </t>
  </si>
  <si>
    <t>ΝΜΑ Πρόσωπα της Ακρόπολης</t>
  </si>
  <si>
    <t>ΝΜΑ ΣΠΙΡΑΛ ΗΜΕΡΟΛΟΓΙΟ</t>
  </si>
  <si>
    <t>ΗΜΕΡΟΛΟΓΙΟ</t>
  </si>
  <si>
    <t>NMA ΝΟΜΙΣΜΑ ΟΡΕΙΧΑΛΚΟΣ ΜΙΚΡΟ</t>
  </si>
  <si>
    <t>ΝΟΜΙΣΜΑΤΑ</t>
  </si>
  <si>
    <t>ΝΜΑ ΕΣΑΡΠΑ ΣΚΟΥΡΟΧΡΩΜΗ</t>
  </si>
  <si>
    <t>ΜΑΝΤΗΛΙΑ</t>
  </si>
  <si>
    <t xml:space="preserve">ΝΜΑ ΕΣΑΡΠΑ ΑΝΟΙΧΤΟΧΡΩΜΗ </t>
  </si>
  <si>
    <t>ΝΜΑ ΔΙΠΤΥΧΟ ΠΑΙΔΙΚΟ ΒΙΒΛΙΑΡΑΚΙ</t>
  </si>
  <si>
    <t>ΕΝΤΥΠΟ</t>
  </si>
  <si>
    <t>ΠΑΙΔΙΚΕΣ ΕΚΔΟΣΕΙΣ</t>
  </si>
  <si>
    <t>ΝΜΑ ΚΛΕΙΔΟΘΗΚΗ ΜΟΥΣΕΙΟΥ</t>
  </si>
  <si>
    <t>ΚΛΕΙΔΟΘΗΚΗ</t>
  </si>
  <si>
    <t>ΝΜΑ ΠΡΕΣ-ΠΑΠΙΕ ΚΑΡΥΑΤΙΔΑ</t>
  </si>
  <si>
    <t>ΠΡΕΣ ΠΑΠΙΕ</t>
  </si>
  <si>
    <t>ΝΜΑ ΚΑΡΤΟΘΗΚΗ ΦΙΔΙΑ</t>
  </si>
  <si>
    <t>ΝΜΑ ΒΡΑΧΙΟΛΙ ΦΙΔΙΑ</t>
  </si>
  <si>
    <t>ΝΜΑ ΒΡΑΧΙΟΛΙ ΦΙΔΙΑ ΕΠΙΧΡΥΣΟ</t>
  </si>
  <si>
    <t>NMA ΔΙΠΤΥΧΟ ΠΑΙΔΙΚΟ ΒΙΒΛΙΑΡΑΚΙ ΝΤΥΣΙΜΟ</t>
  </si>
  <si>
    <t>ΝΜΑ ΣΚΟΥΛΑΡΙΚΙΑ ΠΛΑΣΤΙΚΟΠΟΙΗΜΕΝΑ ΣΦΟΝΔΥΛΙΑ ΜΙΚΡΑ</t>
  </si>
  <si>
    <t>ΣΚΟΥΛΑΡΙΚΙ</t>
  </si>
  <si>
    <t>ΝΜΑ ΣΚΟΥΛΑΡΙΚΙΑ ΠΛΑΣΤΙΚΟΠΟΙΗΜΕΝΑ ΣΦΟΝΔΥΛΙΑ ΜΕΣΑΙΑ</t>
  </si>
  <si>
    <t>ΝΜΑ ΣΚΟΥΛΑΡΙΚΙΑ ΠΛΑΣΤΙΚΟΠΟΙΗΜΕΝΑ ΣΦΟΝΔΥΛΙΑ ΜΕΓΑΛΑ</t>
  </si>
  <si>
    <t>ΝΜΑ ΚΑΡΦΙΤΣΑ ΖΩΦΟΡΟΣ</t>
  </si>
  <si>
    <t>ΝΜΑ ΚΑΡΦΙΤΣΑ ΣΦΟΝΔΥΛΙΑ</t>
  </si>
  <si>
    <t>ΝΜΑ ΒΡΑΧΙΟΛΙ ΣΦΟΝΔΥΛΙΑ</t>
  </si>
  <si>
    <t>ΝΜΑ ΒΡΑΧΙΟΛΟ ΖΩΦΟΡΟΣ</t>
  </si>
  <si>
    <t>ΝΜΑ ΚΡΕΜΑΣΤΟ ΣΦΟΝΔΥΛΙΑ ΚΟΝΤΟ</t>
  </si>
  <si>
    <t>ΚΡΕΜΑΣΤΟ</t>
  </si>
  <si>
    <t>ΝΜΑΚΡΕΜΑΣΤΟ ΖΩΦΟΡΟΣ</t>
  </si>
  <si>
    <t>ΝΜΑ ΚΡΕΜΑΣΤΟ ΣΦΟΝΔΥΛΙΑ ΜΑΚΡΥ</t>
  </si>
  <si>
    <t>ΝΜΑ ΠΑΝΤΑΤΙΦ ΘΕΜΑ 1</t>
  </si>
  <si>
    <t>ΚΟΛΙΕ</t>
  </si>
  <si>
    <t>ΝΜΑ ΠΑΝΤΑΤΙΦ ΘΕΜΑ 2</t>
  </si>
  <si>
    <t>ΝΜΑ ΠΑΝΤΑΤΙΦ ΘΕΜΑ3</t>
  </si>
  <si>
    <t xml:space="preserve">ΑΓΝΥΘΕΣ ΠΡΕΣ ΠΑΠΙΕ ΜΙΚΡΟ ΜΠΡΟΥΤΖΙΝΟ </t>
  </si>
  <si>
    <t>ΔΙΑΚΟΣΜΗΤΙΚΟ</t>
  </si>
  <si>
    <t xml:space="preserve">ΑΓΝΥΘΕΣ ΠΡΕΣ ΠΑΠΙΕ ΜΙΚΡΟ ΑΛΟΥΜΙΝΙΟ </t>
  </si>
  <si>
    <t xml:space="preserve">ΑΓΝΥΘΕΣ ΠΡΕΣ ΠΑΠΙΕ ΜΕΓΑΛΟ  ΜΠΡΟΥΝΤΖΙΝΟ </t>
  </si>
  <si>
    <t>ΝΜΑ ΧΕΡΙΑ ΚΟΥΔΟΥΝΙΣΤΡΑ ΜΕΓΑΛΗ ΜΠΡΟΥΝΤΖΙΝΗ</t>
  </si>
  <si>
    <t xml:space="preserve">ΚΟΥΔΟΥΝΙΣΤΡΑ  </t>
  </si>
  <si>
    <t>ΝΜΑ ΧΕΡΙΑ ΔΑΧΤΥΛΙΔΙ ΑΣΗΜΕΝΙΟ</t>
  </si>
  <si>
    <t>ΝΜΑ ΦΩΤΟΦΟΡΟΣ ΚΑΡΥΑΤΙΔΕΣ</t>
  </si>
  <si>
    <t>ΝΜΑ ΦΩΤΟΦΟΡΟΣ ΖΩΟΦΟΡΟΣ</t>
  </si>
  <si>
    <t xml:space="preserve">ΝΜΑ ΣΟΥΒΕΡ ΖΩΟΦΟΡΟΣ </t>
  </si>
  <si>
    <t>ΣΟΥΒΕΡ</t>
  </si>
  <si>
    <t>ΝΜΑ ΣΕΤ ΣΟΥΒΕΡ PVC ΑΡΧΑΙΚΗ</t>
  </si>
  <si>
    <t>ΝΜΑ ΣΟΥΠΛΑ PVC (set 2 soupla-2souver) ΑΚΡΟΚΕΡΑΜΟ</t>
  </si>
  <si>
    <t>ΣΟΥΠΛΑ</t>
  </si>
  <si>
    <t>ΝΜΑ ΣΟΥΠΛΑ PVC (set 2 soupla-2souver) ΑΛΟΓΟ</t>
  </si>
  <si>
    <t>ΕΡΕΤΡΙΑ, ΜΑΤΙΕΣ ΣΕ ΜΙΑ ΑΡΧΑΙΑ ΠΟΛΗ</t>
  </si>
  <si>
    <t>ΑΡΧΑΙΟΛΟΓΙΚΟΣ ΟΔΗΓΟΣ</t>
  </si>
  <si>
    <t>ΝΜΑ ΕΣΑΡΠΑ ΜΠΡΟΝΤΩ</t>
  </si>
  <si>
    <t xml:space="preserve">ΓΕΝΙΚΗ ΑΞΙΑ ΕΜΠΟΡΕΥΜΑΤΩΝ- ΜΟΥΣΕΙΟ ΑΚΡΟΠΟΛΗΣ </t>
  </si>
  <si>
    <t xml:space="preserve">ΓΕΝΙΚΟ ΣΥΝΟΛΟ ΕΜΠΟΡΕΥΜΑΤΩΝ </t>
  </si>
  <si>
    <t>ΕΚΔΟΤΙΚΟ ΑΠΟΘΕΜΑ</t>
  </si>
  <si>
    <t xml:space="preserve">ΤΙΤΛΟΣ ΕΚΔΟΣΗΣ </t>
  </si>
  <si>
    <t>ΑΡΙΘΜΟΣ ΑΝΤΙΤΥΠΩΝ</t>
  </si>
  <si>
    <t>ΧΩΡΟΣ ΑΠΟΘΗΚΕΥΣΗΣ</t>
  </si>
  <si>
    <t>ΣΗΜΕΡΙΝΗ ΑΞΙΑ ΤΕΜ ΠΡΟ ΦΠΑ</t>
  </si>
  <si>
    <t>"OUTLOOK"  ΔΙΓΛΩΣΣΟ   ( ΑΓΓΛΙΚΑ &amp; ΕΛΛΗΝΙΚΑ)</t>
  </si>
  <si>
    <t>ΑΠΟΘΗΚΗ ΕΛΛΗΝΙΚΟΥ</t>
  </si>
  <si>
    <t>"Ο ΤΑΥΡΟΣ ΣΤΟΝ ΜΕΣΟΓΕΙΑΚΟ ΧΩΡΟ" ΔΙΓΛΩΣΣΟ (ΑΓΓΛΙΚΑ &amp; ΕΛΛΗΝΙΚΑ)</t>
  </si>
  <si>
    <t>"ΠΕΡΙΠΛΟΥΣ"  ΔΙΓΛΩΣΣΟ     ( ΑΓΓΛΙΚΑ&amp; ΕΛΛΗΝΙΚΑ)</t>
  </si>
  <si>
    <t>" ΠΛΟΕΣ" ( ΛΕΥΚΩΜΑ ΕΛΛΗΝΙΚΑ- ΑΓΓΛΙΚΑ)</t>
  </si>
  <si>
    <t>"¨Η ΖΩΣΑ ΤΕΧΝΗ ΤΗΣ ΕΛΛΗΝΙΚΗΣ ΤΡΑΓΩΔΙΑΣ"</t>
  </si>
  <si>
    <t>" ΑΔΟΛΗ ΜΑΤΙΑ"   ( ΦΩΤΟΓΡΑΦΙΚΟ ΛΕΥΚΩΜΑ)</t>
  </si>
  <si>
    <t>"Η ΑΠΟΚΑΛΥΨΗ ΤΗΣ ΑΜΟΡΓΟΥ"</t>
  </si>
  <si>
    <t>"ΜΙΝΩΪΤΩΝ &amp; ΜΥΚΗΝΑΙΩΝ" ΔΙΓΛΩΣΣΟ (ΑΓΓΛΙΚΑ &amp; ΕΛΛΗΝΙΚΑ)</t>
  </si>
  <si>
    <t>" ΑΓΙΟΙ ΤΟΥ ΒΥΖΑΝΤΙΟΥ ΣΕ ΕΙΚΟΝΕΣ ΤΗΣ ΒΕΡΟΙΑΣ 13ος -14ος ΑΙΩΝΑΣ"</t>
  </si>
  <si>
    <t>"ΧΑΝΙΑ ΚΑΙ ΚΑΡΑΒΑΝ ΣΑΡΑΓΙΑ ΣΤΟΝ ΕΛΛΑΔΙΚΟ ΧΩΡΟ ΚΑΙ ΣΤΑ ΒΑΛΚΑΝΙΑ"</t>
  </si>
  <si>
    <t>" ΑΠΟΦΟΙΤΟΙ ΚΑΛΩΝ ΤΕΧΝΩΝ ΑΠΘ" 2003-2005</t>
  </si>
  <si>
    <t>"ΦΙΓΟΥΡΕΣ ΑΠΟ ΦΩΣ &amp; ΙΣΤΟΡΙΑ" ΔΙΓΛΩΣΣΟ (ΑΓΓΛΙΚΑ &amp; ΕΛΛΗΝΙΚΑ)</t>
  </si>
  <si>
    <t>ΕΦΗΜΕΡΕΣ ΚΑΤΑΣΚΕΥΕΣ No2</t>
  </si>
  <si>
    <t xml:space="preserve">ΕΦΗΜΕΡΕΣ ΚΑΤΑΣΚΕΥΕΣ No3 </t>
  </si>
  <si>
    <t>ΛΕΥΚΑΔΙΟΣ ΧΕΡΝ</t>
  </si>
  <si>
    <t>"ΤΟΠΟΙ ΠΟΛΙΤΙΣΜΟΥ"</t>
  </si>
  <si>
    <t>"ΑΝΤΙΣ ΓΙΑ ΟΝΕΙΡΟ" ΚΑΣΕΤΙΝΑ ΜΠΛΕ ΕΛΛΗΝΙΚΟ</t>
  </si>
  <si>
    <t>"WORKS BY GREEK COMPOSERS 19th-20th CENTURI" ΚΑΣΕΤΙΝΑ ΒΥΣΣΙΝΙ ΑΓΓΛΙΚΟ</t>
  </si>
  <si>
    <t>" ΚΑΛΟΜΟΙΡΗΣ"</t>
  </si>
  <si>
    <t>ΣΥΝΟΛΟ ΕΚΔΟΣΕΩΝ ( ΑΠΟΘΗΚΗ ΑΚΡΟΠΟΛ)</t>
  </si>
  <si>
    <t>ΣΑΧΤΟΥΡΗ 34Α ΘΕΣ/ΝΙΚΗ</t>
  </si>
  <si>
    <t>"ΝΕΟΙ ΔΗΜΙΟΥΡΓΟΙ ΤΩΝ ΒΑΛΚΑΝΙΩΝ"</t>
  </si>
  <si>
    <t>"ΤΕΧΝΗ ΜΕΤΑΝΑΣΤΕΥΣΗ ΚΑΙ ΟΥΤΟΠΙΑ-ΟΠΟΥ ΤΟΠΟΣ"</t>
  </si>
  <si>
    <t>"ΕΙΚΑΣΤΙΚΕΣ ΔΗΜΙΟΥΡΓΙΕΣ ΕΚΠΑΙΔΕΥΤΙΚΩΝ"</t>
  </si>
  <si>
    <t>ΣΥΝΟΛΟ ΕΚΔΟΣΕΩΝ ( ΚΤΙΡΙΟ ΣΑΧΤΟΥΡΗ 34Α ΘΕΣ/ΝΙΚΗ)</t>
  </si>
  <si>
    <t xml:space="preserve">ΣΥΝΟΛΙΚΕΣ ΕΚΔΟΣΕΙΣ </t>
  </si>
  <si>
    <t>ΓΕΝΙΚΟ ΣΥΝΟΛΟ ΠΡΟΣ ΕΚΠΟΙΗΣΗ</t>
  </si>
  <si>
    <t>*</t>
  </si>
  <si>
    <t xml:space="preserve">Α=ΚΑΙΝΟΥΡΓΙΟ </t>
  </si>
  <si>
    <t xml:space="preserve">Β=ΜΕΤΑΧΕΙΡΙΣΜΕΝΟ ΜΕΤΡΙΑ ΕΩΣ ΚΑΛΗ ΚΑΤΑΣΤΑΣΗ </t>
  </si>
  <si>
    <t xml:space="preserve">Γ=ΚΑΚΗ ΚΑΤΑΣΤΑΣΗ </t>
  </si>
  <si>
    <t xml:space="preserve"> Ο Εκκαθαριστής </t>
  </si>
  <si>
    <t xml:space="preserve">Ο Εκτιμητής/Πραγματογνώμονας </t>
  </si>
  <si>
    <t>Δημήτριος  Αγγέλου</t>
  </si>
  <si>
    <t>ΜΕΛΑΜΒΑΦΗΣ ΣΚΥΦΟΣ</t>
  </si>
  <si>
    <t>ΜΕΛΑΜΒΑΦΗΣ ΒΟΙΩΤΙΚΟΣ ΚΑΝΘΑΡΟΣ</t>
  </si>
  <si>
    <t>ΠΕΡΙΑΠΤΟ ΑΛΟΓΑΚΙ (ΟΡΕΙΧΑΛΚΟΣ)</t>
  </si>
  <si>
    <t>ΠΕΡΙΑΠΤΟ ΜΕ ΑΛΟΓΑΚΙ (ΟΡΕΙΧΑΛΚΟΣ)</t>
  </si>
  <si>
    <t>ΠΕΡΙΑΠΤΟ ΜΕ ΑΛΟΓΑΚΙ (ΑΣΗΜΙ)</t>
  </si>
  <si>
    <t>ΔΙΑΤΡΗΤΗ  ΧΑΝΔΡΑ ΑΠΟ ΠΕΡΙΑΠΤΟ (ΟΡΕΙΧΑΛΚΟΣ)</t>
  </si>
  <si>
    <t>ΤΡΕΙΣ ΔΙΑΤΡΗΤΕΣ ΧΑΝΤΡΕΣ(ΕΦΑΡΜΟΓΗ : ΟΡΕΙΧΑΛΚΟΣ- ΑΣΗΜΙ)</t>
  </si>
  <si>
    <t>ΤΟΙΧΟΓΡΑΦΙΑ ΤΗΣ  "ΑΝΟΙΞΗΣ" (ΛΕΠΤΟΜΕΡΕΙΑ).</t>
  </si>
  <si>
    <t>ΑΦΙΣΑ ΑΠΟ ΤΟΙΧΟΓΡΑΦΙΑ ΜΕ ΠΑΡΑΣΤΑΣΗ 
ΑΡΠΑΓΗΣ ΠΕΡΣΕΦΟΝΗΣ</t>
  </si>
  <si>
    <t>Εφαρμογές</t>
  </si>
  <si>
    <t>Είδη Χαρτιού</t>
  </si>
  <si>
    <t>Αφίσα</t>
  </si>
  <si>
    <t>ΑΦΙΣΑ ΑΠΟ ΔΙΑΚΟΣΜΟ ΧΡΥΣΕΛΕΦΑΝΤΙΝΗΣ 
ΚΛΙΝΗΣ ΔΙΟΝΥΣΟΣ, ΑΡΙΑΔΝΗ, ΠΑΝ.</t>
  </si>
  <si>
    <t>ΚΑΡΤΑ ΑΠΟ ΤΟΙΧΟΓΡΑΦΙΑ ΜΕ ΠΑΡΑΣΤΑΣΗ ΠΕΡΙΣΤΕΡΙΟΥ</t>
  </si>
  <si>
    <t>Κάρτες</t>
  </si>
  <si>
    <t>Κάρτα ΟΠΕΠ</t>
  </si>
  <si>
    <t>ΚΑΡΤΑ ΜΕ ΧΡΥΣΟ ΣΤΕΦΑΝΙ ΜΥΡΤΙΑΣ.</t>
  </si>
  <si>
    <t>ΚΑΡΤΑ ΜΕ ΛΕΠΤΟΜΕΡΕΙΑ ΤΟΙΧΟΓΡΑΦΙΑΣ.
 Ο ΝΕΚΡΟΣ ΩΣ ΠΟΛΕΜΙΣΤΗΣ.</t>
  </si>
  <si>
    <t>ΚΑΡΤΑ ΜΕ ΧΡΥΣΟ ΓΟΡΓΟΝΕΙΟ,ΔΙΑΚΟΣΜΟΣ ΛΙΝΟΘΩΡΑΚΑ.</t>
  </si>
  <si>
    <t>ΚΑΡΤΑ ΑΠΟ ΤΟΙΧΟΓΡΑΦΙΑ ΜΕ ΠΑΡΑΣΤΑΣΗ ΑΡΠΑΓΗΣ ΠΕΡΣΕΦΟΝΗΣ</t>
  </si>
  <si>
    <t>ΚΑΡΤΑ ΑΠΟ ΤΗΝ ΑΡΧΑΙΑ ΑΓΟΡΑ. ΣΤΟΑ ΑΤΤΑΛΟΥ</t>
  </si>
  <si>
    <t>ΚΑΡΤΑ ΜΕ ΚΟΥΡΟ</t>
  </si>
  <si>
    <t>ΚΑΡΤΑ ΜΕ ΚΟΡΕΣ</t>
  </si>
  <si>
    <t>ΚΑΡΤΑ ΜΕ ΠΡΟΣΘΙΟ ΤΜΗΜΑ  ΑΛΟΓΟΥ</t>
  </si>
  <si>
    <t>ΚΑΡΤΑ ΜΕ ΠΛΟΙΑΡΙΑ</t>
  </si>
  <si>
    <t>ΚΑΡΤΑ ΜΕ ΓΥΝΑΙΚΕΙΟ ΚΥΚΛΑΔΙΚΟ ΑΓΑΛΜΑ</t>
  </si>
  <si>
    <t>ΚΑΡΤΑ ΜΕ ΤΗΝ ΝΙΚΗ ΤΗΣ ΑΚΡΟΠΟΛΕΩΣ.</t>
  </si>
  <si>
    <t>ΚΑΡΤΑ ΜΕ ΤΜΗΜΑ ΑΠΟ ΤΗΝ ΖΩΟΦΟΡΟ 
ΤΟΥ ΠΑΡΘΕΝΩΝΑ. ΠΟΣΕΙΔΩΝ, ΑΠΟΛΛΩΝ, ΑΡΤΕΜΙΣ</t>
  </si>
  <si>
    <t>ΚΑΡΤΑ ΜΕ ΤΜΗΜΑ ΑΠΟ ΤΗΝ ΖΩΟΦΟΡΟ
 ΤΟΥ ΠΑΡΘΕΝΩΝΑ. ΥΔΡΙΟΦΟΡΟΙ</t>
  </si>
  <si>
    <t>ΚΑΡΤΑ ΚΥΚΛΑΔΙΚΟ ΜΑΡΜΑΡΙΝΟ ΒΙΟΛΟΣΧΗΜΟ ΕΙΔΩΛΙΟ. ΣΥΝΘΕΣΗ</t>
  </si>
  <si>
    <t>ΚΑΡΤΑ ΚΕΦΑΛΙ ΑΠΟ ΑΓΑΛΜΑ ΚΟΡΗΣ ΤΗΣ ΦΡΑΣΙΚΛΕΙΑΣ</t>
  </si>
  <si>
    <t>ΚΑΡΤΑ ΧΑΛΚΙΝΟ ΑΓΑΛΜΑ ΗΝΙΟΧΟΥ. 
ΣΥΝΘΕΣΗ ΜΕ ΑΛΟΓΑ ΤΕΘΡΙΠΠΟΥ</t>
  </si>
  <si>
    <t>ΚΑΡΤΑ Ο ΜΑΡΜΑΡΙΝΟΣ ΟΜΦΑΛΟΣ 
(ΚΕΝΤΡΟ ΤΟΥ ΚΟΣΜΟΥ) ΛΕΠΤΟΜΕΡΕΙΑ</t>
  </si>
  <si>
    <t>ΚΑΡΤΑ ΓΙΓΑΝΤΟΜΑΧΙΑ (ΛΕΠΤΟΜΕΡΕΙΑ). 
ΒΟΡΕΙΑ ΖΩΦΟΡΟΣ ΤΟΥ ΘΗΣΑΥΡΟΥ ΤΩΝ ΣΙΦΝΙΩΝ</t>
  </si>
  <si>
    <t>ΚΑΡΤΑ ΓΙΓΑΝΤΟΜΑΧΙΑ (ΛΕΠΤΟΜΕΡΕΙΑ) 
ΒΟΡΕΙΑ ΖΩΦΟΡΟΣ ΤΩΝ ΣΙΦΝΙΩΝ</t>
  </si>
  <si>
    <t>ΚΑΡΤΑ Ο ΚΟΡΜΟΣ ΤΟΥ ΔΙΑ.ΑΝΑΤΟΛΙΚΟ ΑΕΤΩΜΑ ΤΟΥ ΝΑΟΥ ΤΟΥ ΔΙΑ</t>
  </si>
  <si>
    <t>ΚΑΡΤΑ ΛΑΠΙΘΙΔΑ. ΔΥΤΙΚΟ ΑΕΤΩΜΑ ΤΟΥ ΝΑΟΥ</t>
  </si>
  <si>
    <t>ΚΑΡΤΑ ΑΡΧΑΙΑ ΟΛΥΜΠΙΑ. Η ΠΑΛΑΙΣΤΡΑ</t>
  </si>
  <si>
    <t>ΚΑΡΤΑ ΑΤΛΑΣ (ΛΕΠΤΟΜΕΡΕΙΑ) ΑΝΑΤΟΛΙΚΗ ΜΕΤΟΠΗ ΑΠΟ ΤΟ ΝΑΟ ΤΟΥ ΔΙΑ</t>
  </si>
  <si>
    <t>ΚΑΡΤΑ ΓΥΝΑΙΚΕΙΟ ΜΥΚΗΝΑΪΚΟ ΕΙΔΩΛΙΟ</t>
  </si>
  <si>
    <t>ΚΑΡΤΑ ΗΡΑΚΛΗΣ, ΑΤΛΑΣ, ΑΘΗΝΑ ΚΑΙ ΤΑ ΜΗΛΑ ΤΩΝ ΕΣΠΕΡΙΔΩΝ</t>
  </si>
  <si>
    <t>ΚΑΡΤΑ ΚΡΑΝΗ. ΣΥΝΘΕΣΗ</t>
  </si>
  <si>
    <t>ΚΑΡΤΑ ΧΡΥΣΟ ΠΕΡΙΑΠΤΟ</t>
  </si>
  <si>
    <t>ΚΑΡΤΑ ΜΙΝΩΙΚΗ ΠΡΟΧΟΥΣ ΚΑΜΑΡΑΪΚΟΥ ΡΥΘΜΟΥ</t>
  </si>
  <si>
    <t>ΚΑΡΤΑ "Ο ΔΙΣΚΟΣ ΤΗΣ ΦΑΙΣΤΟΥ". (ΛΕΠΤΟΜΕΡΕΙΑ)</t>
  </si>
  <si>
    <t>ΚΑΡΤΑ ΜΙΝΩΪΚΟΣ ΚΡΑΤΗΡΑΣ ΚΑΜΑΡΑΪΚΟΥ ΡΥΘΜΟΥ</t>
  </si>
  <si>
    <t>ΚΑΡΤΑ "Ο ΠΡΙΓΚΗΠΑΣ ΜΕ ΤΑ ΚΡΙΝΑ". 
ΤΟΙΧΟΓΡΑΦΙΑ ΑΠΟ ΤΗΝ ΚΝΩΣΟ</t>
  </si>
  <si>
    <t>ΚΑΡΤΑ ΕΙΔΩΛΙΟ ΘΕΑΣ ΜΕ ΥΨΩΜΕΝΑ ΤΑ ΧΕΡΙΑ. ΣΥΝΘΕΣΗ</t>
  </si>
  <si>
    <t>ΚΑΡΤΑ ΜΙΝΩΪΚΟΙ ΔΙΠΛΟΙ ΧΡΥΣΟΙ ΠΕΛΕΚΕΙΣ.ΣΥΝΘΕΣΗ</t>
  </si>
  <si>
    <t>ΚΑΡΤΑ ΜΙΝΩΙΚΟ ΚΑΛΑΘΟΣΧΗΜΟ ΑΓΓΕΙΟ.ΣΥΝΘΕΣΗ</t>
  </si>
  <si>
    <t>ΚΑΡΤΑ ΖΩΟΜΟΡΦΑ ΜΥΚΗΝΑΪΚΑ ΕΙΔΩΛΙΑ</t>
  </si>
  <si>
    <t>ΚΑΡΤΑ ΧΡΥΣΗ ΠΡΟΣΩΠΙΔΑ ΤΟΥ "ΑΓΑΜΕΜΝΟΝΑ" ΣΥΝΘΕΣΗ</t>
  </si>
  <si>
    <t>ΚΑΡΤΑ ΜΥΚΗΝΑΪΚΟ ΕΙΔΩΛΙΟ ΤΑΥΡΟΥ. ΣΥΝΘΕΣΗ</t>
  </si>
  <si>
    <t>ΚΑΡΤΑ ΓΥΝΑΙΚΕΙΑ ΜΥΚΗΝΑΪΚΑ ΕΙΔΩΛΙΑ .ΣΥΝΘΕΣΗ</t>
  </si>
  <si>
    <t>ΗΡΙΔΑΝΟΣ</t>
  </si>
  <si>
    <t>Εκδόσεις</t>
  </si>
  <si>
    <t>Οδηγοί Μουσείων / Αρχαιολογικών Χώρων</t>
  </si>
  <si>
    <t>Ελληνικό</t>
  </si>
  <si>
    <t>Αγγλικό</t>
  </si>
  <si>
    <t>ΤΑ ΕΡΓΑ ΣΤΗΝ ΑΘΗΝΑΙΚΗ ΑΚΡΟΠΟΛΗ</t>
  </si>
  <si>
    <t>ΙΣΤΟΡΙΚΟΣ ΧΑΡΤΗΣ ΤΗΣ ΑΘΗΝΑΣ</t>
  </si>
  <si>
    <t>Χάρτες</t>
  </si>
  <si>
    <t>Γερμανικό</t>
  </si>
  <si>
    <t>ΤΟ ΕΘΝΙΚΟ ΑΡΧΑΙΟΛΟΓΙΚΟ ΜΟΥΣΕΙΟ</t>
  </si>
  <si>
    <t>ΟΙ ΟΛΥΜΠΙΑΚΟΙ ΑΓΩΝΕΣ ΣΤΗΝ ΑΡΧΑΙΑ ΕΛΛΑΔΑ</t>
  </si>
  <si>
    <t>Ολυμπιακοί Αγώνες</t>
  </si>
  <si>
    <t>MOUSEPAD ΣΥΝΘΕΣΗ ΣΥΜΒΟΛΩΝ ΑΠΟ ΤΟΝ "ΔΙΣΚΟ ΤΗΣ ΦΑΙΣΤΟΥ"</t>
  </si>
  <si>
    <t>Είδη Γραφείου &amp; Διάφορα</t>
  </si>
  <si>
    <t>Mousepad</t>
  </si>
  <si>
    <t>ΕΠΙΣΤΟΛΟΧΑΡΤΑ Η ΑΝΟΙΞΗ</t>
  </si>
  <si>
    <t>Σετ Αλληλογραφίας</t>
  </si>
  <si>
    <t>ΕΠΙΣΤΟΛΟΧΑΡΤΑ ΓΑΛΑΖΙΟ ΠΟΥΛΙ</t>
  </si>
  <si>
    <t>ΕΠΙΣΤΟΛΟΧΑΡΤΑ ΘΑΛΑΣΣΙΟ ΤΟΠΙΟ ΜΕ ΨΑΡΙΑ</t>
  </si>
  <si>
    <t>ΑΦΙΣΑ "ΣΚΗΝΕΣ ΚΥΝΗΓΙΟΥ"</t>
  </si>
  <si>
    <t>ΑΦΙΣΑ "ΝΗΟΠΟΜΠΗ"</t>
  </si>
  <si>
    <t>ΑΦΙΣΑ "Ο ΠΡΙΓΚΗΠΑΣ ΜΕ ΤΑ ΚΡΙΝΑ"</t>
  </si>
  <si>
    <t>Μεταξωτυπία "Πυγμάχοι"</t>
  </si>
  <si>
    <t>Μεταξοτυπία</t>
  </si>
  <si>
    <t>Μεταξωτυπία "Περιστέρι"</t>
  </si>
  <si>
    <t>Μεταξωτυπία "Λουλούδια"</t>
  </si>
  <si>
    <t>ΠΡΕΣ ΠΑΠΙΕ ΟΠΤΙΚΟ ΚΡΥΣΤΑΛΛΟ "ΠΟΣΕΙΔΩΝΑΣ"</t>
  </si>
  <si>
    <t>Πρες Παπιέ</t>
  </si>
  <si>
    <t>ΠΡΕΣ ΠΑΠΙΕ ΟΠΤΙΚΟ ΚΡΥΣΤΑΛΛΟ "ΠΛΟΙΟ"</t>
  </si>
  <si>
    <t>ΟΣΤΡΑΚΟ ΑΝΟΙΞΗ</t>
  </si>
  <si>
    <t>Κεραμικές Εφαρμογές</t>
  </si>
  <si>
    <t>ΟΣΤΡΑΚΟ ΚΡΟΚΟΣΥΛΛΕΚΤΡΙΕΣ</t>
  </si>
  <si>
    <t>ΜΑΓΝΗΤΗΣ ΧΑΡΤΙΝΟΣ "ΔΙΣΚΟΣ ΦΑΙΣΤΟΥ" ΠΗΛΙΝΟΣ</t>
  </si>
  <si>
    <t>Παιχνίδια</t>
  </si>
  <si>
    <t>Μαγνήτης</t>
  </si>
  <si>
    <t>ΜΑΓΝΗΤΗΣ ΧΑΡΤΙΝΟΣ ΔΙΣΚΟΣ ΚΟΚΚΙΝΟΣ</t>
  </si>
  <si>
    <t>ΤΣΑΝΤΑ ΔΙΑΦΑΝΗΣ ΠΑΡΘΕΝΩΝΑΣ</t>
  </si>
  <si>
    <t>Αξεσουάρ</t>
  </si>
  <si>
    <t>Τσάντα</t>
  </si>
  <si>
    <t>ΜΟΛΥΒΙ ΑΚΡΟΠΟΛΗ ΡΟΖ</t>
  </si>
  <si>
    <t>Μολύβια</t>
  </si>
  <si>
    <t>ΜΟΛΥΒΙ ΑΚΡ ΠΟΡΤΟΚΑΛΙ</t>
  </si>
  <si>
    <t>ΜΟΛΥΒΙ ΑΚΡΟΠΟΛΗ ΜΠΛΕ</t>
  </si>
  <si>
    <t>ΠΡΕΣ ΠΑΠΙΕ ΟΠΤΙΚΟ ΚΡΥΣΤΑΛΛΟ ΑΛΕΞΑΝΔΡΟΣ ΜΕ  ΒΑΣΗ</t>
  </si>
  <si>
    <t>ΑΛΜΠΟΥΜ ΚΑΡΤ ΕΠΙΔ ΜΥΚΗΝΕΣ</t>
  </si>
  <si>
    <t>Άλμπουμ Καρτών</t>
  </si>
  <si>
    <t>ΑΛΜΠΟΥΜ ΑΦΙΣΩΝ ΧΩΡΟΙ</t>
  </si>
  <si>
    <t>Άλμπουμ Αφισών</t>
  </si>
  <si>
    <t>ΚΑΡΤΑ ΤΟΙΧΟΓΡΑΦΙΑ ΜΕ ΑΣΠΙΔΕΣ ΜΥΚΗΝΩΝ</t>
  </si>
  <si>
    <t>ΚΑΡΤΑ ΑΤΤΙΚΗ ΛΗΚΥΘΟΣ</t>
  </si>
  <si>
    <t>ΚΑΡΤΑ ΣΤΗΛΗ ΑΡΙΣΤΙΩΝΑ</t>
  </si>
  <si>
    <t>ΚΑΡΤΑ ΚΕΦΑΛΗ ΣΦΙΓΓΑΣ</t>
  </si>
  <si>
    <t>ΚΑΡΤΑ ΝΑΟΣ ΑΘΗΝΑΣ</t>
  </si>
  <si>
    <t>ΚΑΡΤΑ ΚΑΡΥΑΤΙΔΕΣ</t>
  </si>
  <si>
    <t>ΚΑΡΤΑ ΜΟΣΧΟΦΟΡΟΣ</t>
  </si>
  <si>
    <t>ΚΑΡΤΑ ΠΡΟΠΥΛΑΙΑ</t>
  </si>
  <si>
    <t>ΚΑΡΤΑ ΕΦΗΒΟΣ ΚΡΙΤΙΟΥ</t>
  </si>
  <si>
    <t>ΚΑΡΤΑ ΠΑΡΘΕΝΩΝΑΣ</t>
  </si>
  <si>
    <t>ΠΟΡΤ ΚΛΕ ΑΝΑΚ.ΑΛΟΥΜΙΝΙΟ ΧΕΛΙΔΟΝΙ</t>
  </si>
  <si>
    <t>Πορτ Κλε</t>
  </si>
  <si>
    <t>ΠΟΡΤ ΚΛΕ ΑΝΑΚ.ΑΛΟΥΜΙΝΙΟ ΠΑΠΙΑ</t>
  </si>
  <si>
    <t>ΠΑΣΠΑΡΤΟΥ ΑΦΙΣΑ ΤΖΟΚΕΥ</t>
  </si>
  <si>
    <t>Αφίσα με Πασπαρτού</t>
  </si>
  <si>
    <t>ΠΑΣΠΑΡΤΟΥ ΠΑΡΘΕΝΩΝΑΣ</t>
  </si>
  <si>
    <t>MOUSEPAD ΣΥΝΘΕΣΗ KATAΣΤΗΜΑΤΩΝ</t>
  </si>
  <si>
    <t>ΜΑΓΝΗΤΗΣ ΜΥΚΗΝΑΙΑ</t>
  </si>
  <si>
    <t>ΑΦΙΣΑ TZOKEΥ ΑΡΤΕΜΙΣΙΟΥ</t>
  </si>
  <si>
    <t>ΑΦΙΣΑ ΠΡΙΓΚΗΠΑΣ</t>
  </si>
  <si>
    <t>ΑΦΙΣΑ ΠΑΡΙΖΙΑΝΑ</t>
  </si>
  <si>
    <t>ΑΦΙΣΑ ΗΝΙΟΧΟΣ</t>
  </si>
  <si>
    <t>ΑΦΙΣΑ ΠΑΣΠΑΡ ΠΑΡΘΕΝΩΝΑΣ</t>
  </si>
  <si>
    <t>ΑΦΙΣΑ ΠΑΣΠΑΡ ΚΑΡΥΑΤΙΔΕΣ</t>
  </si>
  <si>
    <t>AΦΙΣΑ FABIANO ΠΛΟΥΤΩΝ ΠΕΡΣΕΦΟΝΗ</t>
  </si>
  <si>
    <t>Αφίσα Fabiano</t>
  </si>
  <si>
    <t>ΕΛΛΑΔΑ</t>
  </si>
  <si>
    <t>Τουριστικός Οδηγός</t>
  </si>
  <si>
    <t>Γαλλικό</t>
  </si>
  <si>
    <t>Ουγγρικό</t>
  </si>
  <si>
    <t>Ρώσικο</t>
  </si>
  <si>
    <t>Ολλανδικό</t>
  </si>
  <si>
    <t>ΕΠΙΦΑΝΕΙΣ ΑΡΧΑΙΟΙ ΑΝΔΡΕΣ</t>
  </si>
  <si>
    <t>Ευρύτερου Ενδιαφέροντος</t>
  </si>
  <si>
    <t>ΕΛΛΗΝΙΚΗ ΜΑΓΕΙΡΙΚΗ</t>
  </si>
  <si>
    <t>Ιταλικό</t>
  </si>
  <si>
    <t>Ισπανικό</t>
  </si>
  <si>
    <t>Πολωνέζικο</t>
  </si>
  <si>
    <t>Σουηδικό</t>
  </si>
  <si>
    <t>ΑΝΑΓΛ ΚΑΡΤΑ ΠΟΣΕΙΔΩΝΑΣ</t>
  </si>
  <si>
    <t>Ανάγλυφη Κάρτα</t>
  </si>
  <si>
    <t>ΑΝΑΓΛ ΚΑΡΤΑ ΖΩΦΟΡΟΣ</t>
  </si>
  <si>
    <t>ΑΓΓΕΙΟ ΚΥΛΙΚΑΣ</t>
  </si>
  <si>
    <t>ΑΓΓΕΙΟ ΣΚΥΦΟΣ</t>
  </si>
  <si>
    <t>ΑΓΓΕΙΟ ΑΡΥΒΑΛΛΟΣ</t>
  </si>
  <si>
    <t>ΑΓΓΕΙΟ ΑΜΦΟΡΕΑΣ</t>
  </si>
  <si>
    <t>ΑΓΓΕΙΟ ΟΞΥΠΥΘΜΕΝΟΣ ΑΜΦΟΡΕΑΣ</t>
  </si>
  <si>
    <t>ΑΓΓΕΙΟ ΠΥΞΙΔΑ</t>
  </si>
  <si>
    <t>ΒΑΣΗ ΣΚΕΤΗ</t>
  </si>
  <si>
    <t>ΟΣΤΡΑΚΟ ΚΟΥΚΟΥΒΑΓΙΑ</t>
  </si>
  <si>
    <t>ΟΣΤΡΑΚΟ ΤΡΙΗΡΗΣ</t>
  </si>
  <si>
    <t>Παρθενώνας Μαύρο Ασπρο</t>
  </si>
  <si>
    <t>Σουπλά &amp; Σουβερ σετ</t>
  </si>
  <si>
    <t>Θέατρο Επιδαύρου</t>
  </si>
  <si>
    <t>Αστέρι Βεργίνας</t>
  </si>
  <si>
    <t>Ίππος</t>
  </si>
  <si>
    <t>Λύρα</t>
  </si>
  <si>
    <t>Ταύρος Μαύρο Κόκκινο</t>
  </si>
  <si>
    <t>Ταύρος Μπλε</t>
  </si>
  <si>
    <t>Τριήρης</t>
  </si>
  <si>
    <t>Έρωτας Με Φτερά</t>
  </si>
  <si>
    <t>Καρυάτιδες</t>
  </si>
  <si>
    <t>Κεφαλές Καρυάτιδες;</t>
  </si>
  <si>
    <t>ΜίαΚεφαλή Καρυάτιδας</t>
  </si>
  <si>
    <t>Χρυσό Κύπελο</t>
  </si>
  <si>
    <t>ΑΡΧΑΙΟΙ ΤΟΠΟΙ</t>
  </si>
  <si>
    <t>Λεύκωμα</t>
  </si>
  <si>
    <t>Ελληνοαγγλικό</t>
  </si>
  <si>
    <t>ΔΙΑΦΑΝΗΣ ΕΛΑΣΤΙΚΟΣ ΠΛΑΣΤΙΚΟΣ ΧΑΡΑΚΑΣ ΜΕ ΕΚΤΥΠΩΣΗ (30 ΕΚ)</t>
  </si>
  <si>
    <t>Χάρακας</t>
  </si>
  <si>
    <t>ΑΝΑΓΛΥΦΗ ΚΑΡΤΑ ΕΦΗΒΟΣ ΜΑΡΑΘΩΝΑ</t>
  </si>
  <si>
    <t>ΑΝΑΓΛΥΦΗ ΚΑΡΤΑ ΔΙΣΚΟΣ ΦΑΙΣΤΟΥ</t>
  </si>
  <si>
    <t>ΑΝΑΓΛΥΦΗ ΚΑΡΤΑ ΔΕΚΑΕΞΑΚΤΙΝΟ ΑΣΤΕΡΙ</t>
  </si>
  <si>
    <t>ΑΝΑΓΛΥΦΗ ΚΑΡΤΑ ΝΟΜΙΣΜΑ ΜΕ ΑΛΕΞΑΝΔΡΟ</t>
  </si>
  <si>
    <t>ΑΝΑΓΛΥΦΗ ΚΑΡΤΑ ΧΡΥΣΟ ΓΟΡΓΟΝΕΙΟ</t>
  </si>
  <si>
    <t>ΑΝΑΓΛΥΦΗ ΚΑΡΤΑ ΚΟΡΗ</t>
  </si>
  <si>
    <t>ΑΝΑΓΛΥΦΗ ΚΑΡΤΑ ΠΑΡΘΕΝΩΝΑΣ</t>
  </si>
  <si>
    <t>Η ΔΗΜΙΟΥΡΓΙΚΗ ΟΡΑΣΗ</t>
  </si>
  <si>
    <t>Αρχαιολογικός Οδηγός</t>
  </si>
  <si>
    <t>ΠΡΟΣΩΠΑ ΤΗΣ ΑΚΡΟΠΟΛΗΣ</t>
  </si>
  <si>
    <t>ΕΓΡΑΨΑΝ ΓΙΑ ΤΗΝ ΑΚΡΟΠΟΛΗ 1850-1950</t>
  </si>
  <si>
    <t>ΑΡΧΑΙΑ ΑΓΟΡΑ ΤΗΣ ΑΘΗΝΑΣ - ΑΡΕΙΟΣ ΠΑΓΟΣ</t>
  </si>
  <si>
    <t>ΜΟΥΣΕΙΟ ΑΡΧΑΙΑΣ ΑΓΟΡΑΣ</t>
  </si>
  <si>
    <t>ΡΩΜΑΙΚΗ ΑΓΟΡΑ - ΒΙΒΛΙΟΘΗΚΗ ΑΝΔΡΙΑΝΟΥ</t>
  </si>
  <si>
    <t>ΒΟΡΕΙΑ ΑΝΑΤΟΛΙΚΗ ΚΑΙ ΔΥΤΙΚΗ ΚΛΙΤΥΣ ΑΚΡΟΠΟΛΕΩΣ</t>
  </si>
  <si>
    <t>ΛΟΦΟΙ ΦΙΛΟΠΑΠΟΥ -ΠΝΥΚΑΣ ΝΥΜΦΩΝ</t>
  </si>
  <si>
    <t>ΑΘΗΝΑ</t>
  </si>
  <si>
    <t xml:space="preserve">ΚΑΡΥΑΤΙΔΑ ΓΡΑΜΜΙΚΟ 15 Χ15Χ2 Α ΟΨΗ </t>
  </si>
  <si>
    <t>Plexiglass</t>
  </si>
  <si>
    <t xml:space="preserve">ΚΑΡΥΑΤΙΔΕΣ 12 ΠΡΟΣΩΠΑ 13ΕΚ.X18ΕΚ. X2ΕΚ ΑΒ ΟΨΗ </t>
  </si>
  <si>
    <t xml:space="preserve">ΠΑΡΘΕΝΩΝΑΣ ΜΠΛΕ-ΜΑΥΡΟ </t>
  </si>
  <si>
    <t xml:space="preserve">ΚΝΩΣΟΣ ΡΥΤΟ ΤΑΥΡΟΥ ΜΑΥΡΟ ΚΟΚ ΚΙΤΡ 
11Χ16 ΑΒ ΟΨΗ </t>
  </si>
  <si>
    <t xml:space="preserve">ΚΝΩΣΟΣ ΡΥΤΟ ΤΑΥΡΟΥ  ΜΑΥΡΟ ΜΠΛΕ ΠΟΡΤ.  11ΕΚ.X16ΕΚ.X2ΕΚ Α ΟΨΗ </t>
  </si>
  <si>
    <t>ΙΠΠΟΣ   11Χ16 Α ΟΨΗ .</t>
  </si>
  <si>
    <t>ΚΝΩΣΟΣ ΤΑΥΡΟΣ 11Χ16 Α ΟΨΗ</t>
  </si>
  <si>
    <t>ΒΑΣΗ  ΜΟΝΗ</t>
  </si>
  <si>
    <t>ΟΣΤΡΑΚΟ ΛΙΟΝΤΑΡΙΑ ΔΗΛΟΥ</t>
  </si>
  <si>
    <t>ΟΣΤΡΑΚΟ ΑΠΟΛΛΩΝ ΔΗΛΟΥ</t>
  </si>
  <si>
    <t>ΑΓΓΕΛΟΣ ΜΙΚΡΟΣ ΑΣΗΜΙ</t>
  </si>
  <si>
    <t xml:space="preserve">Γλυπτό </t>
  </si>
  <si>
    <t xml:space="preserve">ΓΟΥΡΙ 2010 ΚΛΑΔΙ ΕΛΙΑΣ </t>
  </si>
  <si>
    <t>Γούρι</t>
  </si>
  <si>
    <t>SMART ART IN GREECE</t>
  </si>
  <si>
    <t>ΠΕΡΙΑΠΤΟ ΔΗΛΟΣ 9090/0110/10</t>
  </si>
  <si>
    <t>Ασήμι</t>
  </si>
  <si>
    <t>Σουβέρ</t>
  </si>
  <si>
    <t>ΕΘΝΙΚΟ ΑΡΧΑΙΟΛΟΓΙΚΟ ΜΟΥΣΕΙΟ</t>
  </si>
  <si>
    <t xml:space="preserve">ΓΕΝΙΚΗ ΑΞΙΑ ΕΜΠΟΡΕΥΜΑΤΩΝ ΠΩΛΗΤΗΡΙΩΝ </t>
  </si>
  <si>
    <t>ΠΡΟΪΟΝΤΑ ΑΝΑ ΚΩΔΙΚΟ ΕΙΔΟΥΣ ΜΕ ΛΟΓΟΤΥΠΟ  ΤΟΥ ΝΕΟΥ  ΜΟΥΣΕΙΟΥ ΑΚΡΟΠΟΛΗΣ</t>
  </si>
  <si>
    <t>ΠΕΡΙΓΡΑΦΗ ΚΑΙ ΧΑΡΑΚΤΗΡΙΣΤΑ ΑΝ ΕΙΔΟΣ</t>
  </si>
  <si>
    <t>ΝΜΑ ΤΣΑΝΤΑ ΘΑΛΑΣΣΗΣ ΑΓΑΛΜΑΤΑ</t>
  </si>
  <si>
    <t>ΕΦΑΡΜΟΓΕΣ</t>
  </si>
  <si>
    <t>ΑΞΕΣΟΥΑΡ</t>
  </si>
  <si>
    <t>ΤΣΑΝΤΑ</t>
  </si>
  <si>
    <t>ΝΜΑ ΤΣΑΝΤΑ ΘΑΛΑΣΣΗΣ ΦΙΔΙΑ</t>
  </si>
  <si>
    <t>ΝΜΑ ΤΣΑΝΤΑ ΘΑΛΑΣΣΗΣ ΣΚΟΥΛΑΡΙΚΙ</t>
  </si>
  <si>
    <t>ΝΜΑ ΣΕΛΙΔΟΔΕΙΚΤΕΣ MΕ ΕΚΘΕΜΑΤΑ</t>
  </si>
  <si>
    <t>ΕΙΔΗ ΧΑΡΤΙΟΥ</t>
  </si>
  <si>
    <t>ΣΕΛΙΔΟΔΕΙΚΤΕΣ</t>
  </si>
  <si>
    <t>ΝΜΑ ΤΣΑΝΤΑΚΙ ΓΙΑ ΜΑΓΙΟ ΑΓΑΛΜΑΤΑ</t>
  </si>
  <si>
    <t>ΝΜΑ ΤΣΑΝΤΑΚΙ ΓΙΑ ΜΑΓΙΟ ΦΙΔΙΑ</t>
  </si>
  <si>
    <t>ΝΜΑ ΤΣΑΝΤΑΚΙ ΓΙΑ ΜΑΓΙΟ ΣΚΟΥΛΑΡΙΚΙ</t>
  </si>
  <si>
    <t>ΝΜΑ ΤΣΑΝΤΑΚΙ ΜΙΚΡΟ</t>
  </si>
  <si>
    <t>ΝΜΑ MOUSEPADS ΠΑΙΔΙΚΑ ΦΙΔΙ ΝΟ5</t>
  </si>
  <si>
    <t>ΕΙΔΗ ΓΡΑΦΕΙΟΥ</t>
  </si>
  <si>
    <t>ΜΟUSEPAD</t>
  </si>
  <si>
    <t>ΝΜΑ ΣΗΜΕΙΩΜΑΤΑΡΙΟ 21x15 ΚΑΤΟΨΗ</t>
  </si>
  <si>
    <t>ΣΗΜΕΙΩΜΑΤΑΡΙΟ ΜΕΓΑΛΟ</t>
  </si>
  <si>
    <t>ΝΜΑ ΣΗΜΕΙΩΜΑΤΑΡΙΟ 21x15 ΑΛΟΓΟ</t>
  </si>
  <si>
    <t>ΝΜΑ ΣΗΜΕΙΩΜΑΤΑΡΙΟ 21x15  ΧΕΡΙ ΚΟΡΗΣ</t>
  </si>
  <si>
    <t>ΝΜΑ ΣΗΜΕΙΩΜΑΤΑΡΙΟ 21x15 ΑΚΡΟΚΕΡΑΜΟ</t>
  </si>
  <si>
    <t>ΝΜΑ ΦΑΚΕΛΟΣ Α4 ΑΛΟΓΟ</t>
  </si>
  <si>
    <t>ΦΑΚΕΛΟΣ</t>
  </si>
  <si>
    <t>ΝΜΑ ΦΑΚΕΛΟΣ Α4 ΚΟΤΑ</t>
  </si>
  <si>
    <t>ΝΜΑ ΦΑΚΕΛΟΣ Α4 ΚΑΤΟΨΗ</t>
  </si>
  <si>
    <t>ΝΜΑ ΦΑΚΕΛΟΣ Α4 ΚΑΡΥΑΤΙΔΕΣ</t>
  </si>
  <si>
    <t>ΝΜΑ ΦΑΚΕΛΟΣ Α4 ΠΑΙΔΙΚΟ</t>
  </si>
  <si>
    <t>ΝΜΑ PAREO ΑΓΑΛΜΑΤΑ</t>
  </si>
  <si>
    <t>ΠΑΡΕΟ</t>
  </si>
  <si>
    <t>ΝΜΑ ΧΑΡΑΚΑΣ ΠΑΙΔΙΚΟΣ</t>
  </si>
  <si>
    <t>ΧΑΡΑΚΑΣ</t>
  </si>
  <si>
    <t>ΝΜΑ ΠΑΙΔΙΚΟ ΜΠΛΟΚ ΖΩΓΡΑΦΙΚΗΣ</t>
  </si>
  <si>
    <t>ΠΑΙΧΝΙΔΙΑ</t>
  </si>
  <si>
    <t>ΣΗΜΕΙΩΜΑΤΑΡΙΟ</t>
  </si>
  <si>
    <t>ΝΜΑ ΑΣΗΜΕΝΙΟΣ ΔΙΣΚΟΣ</t>
  </si>
  <si>
    <t>ΔΙΣΚΟΣ</t>
  </si>
  <si>
    <t>ΝΜΑ ΚΟΝΤΟΜΑΝΙΚΟ ACROPOLIS KIDS ΚΟΚΚΙΝΟ-ΜΑΥΡΟ</t>
  </si>
  <si>
    <t>ΚΟΝΤΟΜΑΝΙΚΟ</t>
  </si>
  <si>
    <t>ΝΜΑ ΚΟΝΤΟΜΑΝΙΚΟ ΖΩΑ ΠΙΣΩ ΜΠΡΟΣΤΑ ΛΕΥΚΟ ΝΟ12</t>
  </si>
  <si>
    <t>ΝΜΑ ΦΩΤΟΦΟΡΟΣ ΓΡΑΜΜΑΤΑ</t>
  </si>
  <si>
    <t>ΦΩΤΟΦΟΡΟΣ</t>
  </si>
  <si>
    <t>ΝΜΑ ΚΑΡΦΙΤΣΑ ΘΡΑΥΣΜΑ</t>
  </si>
  <si>
    <t>ΚΟΣΜΗΜΑΤΑ</t>
  </si>
  <si>
    <t>ΑΣΗΜΙ</t>
  </si>
  <si>
    <t>ΚΑΡΦΙΤΣΑ</t>
  </si>
  <si>
    <t>ΝΜΑ ΣΚΟΥΛΑΡΙΚΙΑ ΘΡΑΥΣΜΑΤΑ ΜΙΚΡΑ</t>
  </si>
  <si>
    <t>ΣΚΟΥΛΑΡΙΚΙΑ</t>
  </si>
  <si>
    <t>ΝΜΑ ΚΟΛΩΝΕΣ ΔΑΧΤΥΛΙΔΙ ΜΑΚΡΟΣΤΕΝΟ</t>
  </si>
  <si>
    <t>ΔΑΧΤΥΛΙΔΙ</t>
  </si>
  <si>
    <t>ΝΜΑ ΚΟΛΩΝΕΣ ΣΚΟΥΛΑΡΙΚΙΑ ΤΕΤΡΑΓΩΝΑ</t>
  </si>
  <si>
    <t>ΝΜΑ ΚΟΛΩΝΕΣ ΚΑΡΦΙΤΣΑ</t>
  </si>
  <si>
    <t>ΝΜΑ ΜΕΤΑΞΩΤΑ ΒΡΑΧΙΟΛΙΑ ΑΚΡΟΚΕΡΑΜΟ</t>
  </si>
  <si>
    <t>ΒΡΑΧΙΟΛΙ</t>
  </si>
  <si>
    <t>ΝΜΑ ΜΕΤΑΞΩΤΑ ΒΡΑΧΙΟΛΙΑ ΑΛΟΓΟ</t>
  </si>
  <si>
    <t>ΝΜΑ ΚΑΡΦΙΤΣΕΣ ΠΕΤΕΙΝΟΥ</t>
  </si>
  <si>
    <t>ΝΜΑ ΧΑΝΔΡΕΣ ΤΗΕΤΙS</t>
  </si>
  <si>
    <t>ΚΕΡΑΜΙΚΑ</t>
  </si>
  <si>
    <t>ΠΕΡΙΔΕΡΑΙΑ</t>
  </si>
  <si>
    <t>ΝΜΑ ΣΦΟΝΔΥΛΙΑ</t>
  </si>
  <si>
    <t>ΝΜΑ ΧΑΡΤΟΚΟΠΤΗΣ ΦΙΔΙ</t>
  </si>
  <si>
    <t xml:space="preserve">ΕΦΑΡΜΟΓΕΣ </t>
  </si>
  <si>
    <t>ΕΙΔΗ ΓΡΑΦΕΙΟΥ ΚΑΙ ΔΙΑΦΟΡΑ</t>
  </si>
  <si>
    <t>ΧΑΡΤΟΚΟΠΤΗΣ</t>
  </si>
  <si>
    <t>ΝΜΑ ΧΑΡΤΟΚΟΠΤΗΣ ΦΙΔΙ ΑΣΗΜΕΝΙΟΣ</t>
  </si>
  <si>
    <t>ΝΜΑ ΚΑΡΦΙΤΣΑ ΦΙΔΙ</t>
  </si>
  <si>
    <t>Παναγιώτης Καλησπεράκης</t>
  </si>
  <si>
    <t>ΑΠΟΘΗΚΗ ΑΚΡΟΠΟΛ</t>
  </si>
  <si>
    <t xml:space="preserve">ΣΥΝΟΛΟ ΕΚΔΟΣΕΩΝ </t>
  </si>
  <si>
    <t>ΑΡΓΥΡΟΣ ΣΤΑΤΥΡΑΣ</t>
  </si>
  <si>
    <t xml:space="preserve">ΧΩΡΟΣ ΑΠΟΘΗΚΕΥΣΗΣ </t>
  </si>
  <si>
    <t>ΚΤΙΡΙΟ "ΑΚΡΟΠΟΛ"</t>
  </si>
  <si>
    <t>"      "</t>
  </si>
  <si>
    <t>ΓΕΝΙΚΟ ΣΥΝΟΛΟ ΑΠΟΘΕΜΑΤΟΣ ( ΕΜΠΟΡΕΥΜΑΤΩΝ &amp; ΕΚΔΟΣΕΩΝ)</t>
  </si>
  <si>
    <t>ΜΕΤΑΦΟΡΙΚΑ ΜΕΣΑ</t>
  </si>
  <si>
    <t>AYTOKINHTA  ΙΧ</t>
  </si>
  <si>
    <t>ΜΟΝΤΕΛΟ</t>
  </si>
  <si>
    <t>Αριθ. Κυκλοφ</t>
  </si>
  <si>
    <t>ΕΚΤΙΜΩΜΕΝΗ ΣΗΜΕΡΙΝΗ ΑΞΙΑ /  ΤΕΜΑΧΙΟ</t>
  </si>
  <si>
    <t>ΓΕΝΙΚΟ ΣΥΝΟΛΟ</t>
  </si>
  <si>
    <t xml:space="preserve">MITSUBISHI SPACE WAGON   1997cc  ΧΡΩΜΑ ΒΥΣΣΙΝΙ   </t>
  </si>
  <si>
    <t>NZO  5034</t>
  </si>
  <si>
    <t>Β</t>
  </si>
  <si>
    <t>FORD  MONDEO                     1999cc   ΧΡΩΜΑ ΑΣΗΜΙ</t>
  </si>
  <si>
    <t>ZMB   5784</t>
  </si>
  <si>
    <t>ΓΕΝΙΚΗ ΑΞΙΑ ΟΧΗΜΑΤΩΝ</t>
  </si>
  <si>
    <t>Η Ανώνυμη Εταιρία με την επωνυμία "ΟΡΓΑΝΙΣΜΟΣ ΠΡΟΒΟΛΗΣ ΕΛΛΗΝΙΚΟΥ ΠΟΛΙΤΙΣΜΟΥ ΑΕ - ΥΠΟ ΕΚΚΑΘΑΡΙΣΗ" (ΟΠΕΠ ΑΕ Υπό Εκκαθάριση) που εδρεύει στην οδό Σουλτάνη 6 τκ 10682 - Εξάρχεια - Αθήνα, εποπτευόμενος φορέας του Υπουργείου Πολιτισμού και Αθλητισμού και η οποία με τον ν. 4002/22.08.2011 λύθηκε και τέθηκε σε εκκαθάριση, στο πλαίσιο των κείμενων διατάξεων "περί εκκαθάρισης ανωνύμων εταιριών" ο εντολοδόχος εκκαθαριστής (ΦΕΚ Β 4877/30.12.2019) για την εξυπηρέτηση των συμφερόντων της εταιρίας, εκποιεί κινητά περιουσιακά της στοιχεία. Σε αυτά περιλαμβάνονται επιβατικά αυτοκίνητα, εκδόσεις και cd. Ακόμη περιλαμβάνονται εμπορεύματα που αφορούν πολιτιστικά προϊόντα όπως, αντίγραφα ειδωλίων, νομισμάτων, κοσμημάτων, σκευών και ευρημάτων σε αρχαιολογικούς χώρους, καθώς και σύγχρονες χρηστικές εφαρμογές τους. Για την εκποίηση αναγγέλει πρόσκληση ενδιαφέροντος προς υποψήφιους αγοραστές.Οι ενδιαφερόμενοι μπορούν να προσέρχονται στα γραφεία της εταιρίας στην ως άνω διεύθυνση για να λάβουν γνώση των αναλυτικών καταλόγων ανά είδος με την αντίστοιχη εναρκτήρια τιμή πώλησης τους από την 01/06/2020 έως και την 15/06/2020 από τις 10:00 π.μ έως τις 13:00 μ.μ</t>
  </si>
  <si>
    <t>Δύνανται ακόμη να πληροφορηθούν για την διαδικασία εκποίηση τους και τον προγραμματισμό επισκεψιμότητας τους στους χώρους όπου αυτά φυλάσσονται. Έως και την Δευτέρα 15/06/2020 (από 10:00 π.μ έως στις 13:00μ.μ) στην ως άνω διεύθυνση μπορούν να υποβάλλουν σε ανοικτούς φακέλους τις σχετικές προσφορές τους. Σε αυτές θα πρέπει να περιλαμβάνονται τα πλήρη στοιχεία του αγοραστή, ονοματεπώνυμο, ή επωνυμία της εταιρίας, ΑΦΜ, διεύθυνση, τηλέφωνα επικοινωνίας. Σημειωτέον ότι οι προσφορές για το σύνολο ή και ομαδική αγορά αντικειμένων (εκδόσεων και εμπορευμάτων) θα τύχουν προτεραιότητας.</t>
  </si>
  <si>
    <t>ΓΕΝΙΚΟ ΣΥΝΟΛΟ ΜΕ ΟΧΗΜΑΤΑ</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</si>
</sst>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Δρχ&quot;_-;\-* #,##0\ &quot;Δρχ&quot;_-;_-* &quot;-&quot;\ &quot;Δρχ&quot;_-;_-@_-"/>
    <numFmt numFmtId="165" formatCode="_-* #,##0\ _Δ_ρ_χ_-;\-* #,##0\ _Δ_ρ_χ_-;_-* &quot;-&quot;\ _Δ_ρ_χ_-;_-@_-"/>
    <numFmt numFmtId="166" formatCode="_-* #,##0.00\ &quot;Δρχ&quot;_-;\-* #,##0.00\ &quot;Δρχ&quot;_-;_-* &quot;-&quot;??\ &quot;Δρχ&quot;_-;_-@_-"/>
    <numFmt numFmtId="167" formatCode="_-* #,##0.00\ _Δ_ρ_χ_-;\-* #,##0.00\ _Δ_ρ_χ_-;_-* &quot;-&quot;??\ _Δ_ρ_χ_-;_-@_-"/>
    <numFmt numFmtId="168" formatCode="0.0"/>
    <numFmt numFmtId="169" formatCode="_([$€]* #,##0.00_);_([$€]* \(#,##0.00\);_([$€]* &quot;-&quot;??_);_(@_)"/>
    <numFmt numFmtId="170" formatCode="0.000"/>
    <numFmt numFmtId="171" formatCode="#,##0.00_ ;[Red]\-#,##0.00\ "/>
    <numFmt numFmtId="172" formatCode="#,##0.00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4"/>
      <name val="Arial"/>
      <family val="2"/>
    </font>
    <font>
      <sz val="14"/>
      <name val="Arial"/>
      <family val="2"/>
    </font>
    <font>
      <b/>
      <sz val="12"/>
      <name val="Arial"/>
      <family val="2"/>
    </font>
    <font>
      <sz val="12"/>
      <name val="Arial"/>
      <family val="2"/>
    </font>
    <font>
      <b/>
      <sz val="10"/>
      <name val="Arial"/>
      <family val="2"/>
    </font>
    <font>
      <b/>
      <sz val="11"/>
      <name val="Arial"/>
      <family val="2"/>
    </font>
    <font>
      <sz val="10"/>
      <name val="Arial Greek"/>
      <family val="0"/>
    </font>
    <font>
      <sz val="10"/>
      <name val="MS Sans Serif"/>
      <family val="2"/>
    </font>
    <font>
      <sz val="11"/>
      <name val="Tahoma"/>
      <family val="2"/>
    </font>
    <font>
      <sz val="8"/>
      <name val="Arial"/>
      <family val="2"/>
    </font>
    <font>
      <b/>
      <sz val="11"/>
      <name val="Arial Narrow"/>
      <family val="2"/>
    </font>
    <font>
      <sz val="11"/>
      <name val="Arial"/>
      <family val="2"/>
    </font>
    <font>
      <sz val="10"/>
      <name val="Arial Narrow"/>
      <family val="2"/>
    </font>
    <font>
      <b/>
      <sz val="11"/>
      <name val="Tahoma"/>
      <family val="2"/>
    </font>
    <font>
      <b/>
      <sz val="14"/>
      <name val="Arial Narrow"/>
      <family val="2"/>
    </font>
    <font>
      <b/>
      <sz val="10"/>
      <name val="Arial Narrow"/>
      <family val="2"/>
    </font>
    <font>
      <i/>
      <sz val="10"/>
      <name val="Arial"/>
      <family val="2"/>
    </font>
    <font>
      <b/>
      <sz val="12"/>
      <name val="Tahoma"/>
      <family val="2"/>
    </font>
    <font>
      <b/>
      <sz val="22"/>
      <name val="Arial"/>
      <family val="2"/>
    </font>
    <font>
      <b/>
      <sz val="12"/>
      <name val="Arial Narrow"/>
      <family val="2"/>
    </font>
    <font>
      <sz val="12"/>
      <name val="Arial Narrow"/>
      <family val="2"/>
    </font>
    <font>
      <sz val="12"/>
      <color indexed="10"/>
      <name val="Arial"/>
      <family val="2"/>
    </font>
    <font>
      <b/>
      <sz val="16"/>
      <name val="Arial"/>
      <family val="2"/>
    </font>
    <font>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double"/>
      <bottom style="double"/>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2" fillId="3" borderId="0" applyNumberFormat="0" applyBorder="0" applyAlignment="0" applyProtection="0"/>
    <xf numFmtId="0" fontId="19" fillId="20" borderId="1" applyNumberFormat="0" applyAlignment="0" applyProtection="0"/>
    <xf numFmtId="0" fontId="6"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5" fillId="7" borderId="1" applyNumberFormat="0" applyAlignment="0" applyProtection="0"/>
    <xf numFmtId="0" fontId="16" fillId="0" borderId="6" applyNumberFormat="0" applyFill="0" applyAlignment="0" applyProtection="0"/>
    <xf numFmtId="0" fontId="14" fillId="22" borderId="0" applyNumberFormat="0" applyBorder="0" applyAlignment="0" applyProtection="0"/>
    <xf numFmtId="0" fontId="27" fillId="0" borderId="0">
      <alignment/>
      <protection/>
    </xf>
    <xf numFmtId="0" fontId="28" fillId="0" borderId="0">
      <alignment/>
      <protection/>
    </xf>
    <xf numFmtId="0" fontId="0" fillId="23" borderId="7" applyNumberFormat="0" applyFont="0" applyAlignment="0" applyProtection="0"/>
    <xf numFmtId="0" fontId="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0" fontId="0" fillId="0" borderId="0">
      <alignment/>
      <protection/>
    </xf>
    <xf numFmtId="0" fontId="5" fillId="7" borderId="1" applyNumberFormat="0" applyAlignment="0" applyProtection="0"/>
    <xf numFmtId="0" fontId="6"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20" borderId="8" applyNumberFormat="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26" fillId="0" borderId="0">
      <alignment/>
      <protection/>
    </xf>
    <xf numFmtId="0" fontId="0" fillId="0" borderId="0">
      <alignment/>
      <protection/>
    </xf>
    <xf numFmtId="0" fontId="14" fillId="2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3" borderId="7" applyNumberFormat="0" applyFont="0" applyAlignment="0" applyProtection="0"/>
    <xf numFmtId="0" fontId="16" fillId="0" borderId="6"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20" borderId="1" applyNumberFormat="0" applyAlignment="0" applyProtection="0"/>
  </cellStyleXfs>
  <cellXfs count="264">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xf>
    <xf numFmtId="0" fontId="23" fillId="0" borderId="0" xfId="0" applyFont="1" applyFill="1" applyAlignment="1">
      <alignment/>
    </xf>
    <xf numFmtId="0" fontId="25" fillId="0" borderId="10" xfId="0" applyFont="1" applyFill="1" applyBorder="1" applyAlignment="1">
      <alignment horizontal="center" wrapText="1"/>
    </xf>
    <xf numFmtId="0" fontId="30" fillId="0" borderId="11" xfId="0" applyFont="1" applyFill="1" applyBorder="1" applyAlignment="1">
      <alignment horizontal="center" wrapText="1"/>
    </xf>
    <xf numFmtId="170" fontId="30" fillId="0" borderId="11" xfId="0" applyNumberFormat="1" applyFont="1" applyFill="1" applyBorder="1" applyAlignment="1">
      <alignment horizontal="center" wrapText="1"/>
    </xf>
    <xf numFmtId="0" fontId="25" fillId="0" borderId="11" xfId="0" applyFont="1" applyFill="1" applyBorder="1" applyAlignment="1">
      <alignment horizontal="center" wrapText="1"/>
    </xf>
    <xf numFmtId="2" fontId="25" fillId="0" borderId="12" xfId="0" applyNumberFormat="1" applyFont="1" applyFill="1" applyBorder="1" applyAlignment="1">
      <alignment horizontal="center" wrapText="1"/>
    </xf>
    <xf numFmtId="0" fontId="31" fillId="0" borderId="0" xfId="0" applyFont="1" applyFill="1" applyBorder="1" applyAlignment="1">
      <alignment/>
    </xf>
    <xf numFmtId="0" fontId="0" fillId="0" borderId="10" xfId="0" applyFont="1" applyFill="1" applyBorder="1" applyAlignment="1">
      <alignment horizontal="center"/>
    </xf>
    <xf numFmtId="0" fontId="32" fillId="0" borderId="11" xfId="76" applyNumberFormat="1" applyFont="1" applyFill="1" applyBorder="1" applyAlignment="1" quotePrefix="1">
      <alignment horizontal="center" wrapText="1"/>
      <protection/>
    </xf>
    <xf numFmtId="170" fontId="32" fillId="0" borderId="11" xfId="76" applyNumberFormat="1" applyFont="1" applyFill="1" applyBorder="1" applyAlignment="1">
      <alignment horizontal="center" wrapText="1"/>
      <protection/>
    </xf>
    <xf numFmtId="0" fontId="32" fillId="0" borderId="11" xfId="0" applyFont="1" applyFill="1" applyBorder="1" applyAlignment="1">
      <alignment horizontal="center" wrapText="1"/>
    </xf>
    <xf numFmtId="171" fontId="32" fillId="0" borderId="11" xfId="0" applyNumberFormat="1" applyFont="1" applyFill="1" applyBorder="1" applyAlignment="1">
      <alignment horizontal="center" wrapText="1"/>
    </xf>
    <xf numFmtId="4" fontId="0" fillId="0" borderId="11" xfId="0" applyNumberFormat="1" applyFont="1" applyFill="1" applyBorder="1" applyAlignment="1">
      <alignment horizontal="center"/>
    </xf>
    <xf numFmtId="2" fontId="0" fillId="0" borderId="12" xfId="0" applyNumberFormat="1" applyFont="1" applyFill="1" applyBorder="1" applyAlignment="1">
      <alignment horizontal="center" wrapText="1"/>
    </xf>
    <xf numFmtId="168" fontId="0" fillId="0" borderId="0" xfId="0" applyNumberFormat="1" applyFont="1" applyFill="1" applyBorder="1" applyAlignment="1">
      <alignment/>
    </xf>
    <xf numFmtId="2" fontId="0" fillId="0" borderId="12" xfId="0" applyNumberFormat="1" applyFont="1" applyFill="1" applyBorder="1" applyAlignment="1">
      <alignment horizontal="center"/>
    </xf>
    <xf numFmtId="170" fontId="32" fillId="0" borderId="11" xfId="0" applyNumberFormat="1" applyFont="1" applyFill="1" applyBorder="1" applyAlignment="1">
      <alignment horizontal="center" wrapText="1"/>
    </xf>
    <xf numFmtId="168" fontId="23" fillId="0" borderId="0" xfId="0" applyNumberFormat="1" applyFont="1" applyFill="1" applyBorder="1" applyAlignment="1">
      <alignment/>
    </xf>
    <xf numFmtId="2" fontId="0" fillId="0" borderId="0" xfId="0" applyNumberFormat="1" applyFont="1" applyFill="1" applyBorder="1" applyAlignment="1">
      <alignment horizontal="center"/>
    </xf>
    <xf numFmtId="0" fontId="29" fillId="0" borderId="11" xfId="0" applyFont="1" applyFill="1" applyBorder="1" applyAlignment="1">
      <alignment horizontal="center" vertical="center" wrapText="1"/>
    </xf>
    <xf numFmtId="0" fontId="32" fillId="0" borderId="11" xfId="76" applyNumberFormat="1" applyFont="1" applyFill="1" applyBorder="1" applyAlignment="1">
      <alignment horizontal="center" wrapText="1"/>
      <protection/>
    </xf>
    <xf numFmtId="1" fontId="33" fillId="0" borderId="11" xfId="77" applyNumberFormat="1" applyFont="1" applyFill="1" applyBorder="1" applyAlignment="1">
      <alignment horizontal="center" vertical="center"/>
      <protection/>
    </xf>
    <xf numFmtId="0" fontId="0" fillId="0" borderId="11" xfId="0" applyFont="1" applyFill="1" applyBorder="1" applyAlignment="1">
      <alignment/>
    </xf>
    <xf numFmtId="4" fontId="0" fillId="0" borderId="11" xfId="0" applyNumberFormat="1" applyFont="1" applyFill="1" applyBorder="1" applyAlignment="1">
      <alignment horizontal="center"/>
    </xf>
    <xf numFmtId="4" fontId="25" fillId="0" borderId="11" xfId="0" applyNumberFormat="1" applyFont="1" applyFill="1" applyBorder="1" applyAlignment="1">
      <alignment horizontal="center"/>
    </xf>
    <xf numFmtId="4" fontId="25" fillId="0" borderId="12" xfId="0" applyNumberFormat="1" applyFont="1" applyFill="1" applyBorder="1" applyAlignment="1">
      <alignment horizontal="center"/>
    </xf>
    <xf numFmtId="0" fontId="24" fillId="0" borderId="11" xfId="0" applyFont="1" applyFill="1" applyBorder="1" applyAlignment="1">
      <alignment horizontal="center"/>
    </xf>
    <xf numFmtId="0" fontId="35" fillId="0" borderId="11" xfId="0" applyFont="1" applyFill="1" applyBorder="1" applyAlignment="1">
      <alignment horizontal="center" wrapText="1"/>
    </xf>
    <xf numFmtId="170" fontId="35" fillId="0" borderId="11" xfId="0" applyNumberFormat="1" applyFont="1" applyFill="1" applyBorder="1" applyAlignment="1">
      <alignment horizontal="center" wrapText="1"/>
    </xf>
    <xf numFmtId="0" fontId="24" fillId="0" borderId="11" xfId="0" applyFont="1" applyFill="1" applyBorder="1" applyAlignment="1">
      <alignment horizontal="center" wrapText="1"/>
    </xf>
    <xf numFmtId="0" fontId="0" fillId="0" borderId="12"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2" fontId="0" fillId="0" borderId="11" xfId="0" applyNumberFormat="1" applyFont="1" applyFill="1" applyBorder="1" applyAlignment="1">
      <alignment horizontal="center"/>
    </xf>
    <xf numFmtId="0" fontId="32" fillId="0" borderId="11" xfId="76" applyFont="1" applyFill="1" applyBorder="1" applyAlignment="1">
      <alignment horizontal="center" wrapText="1"/>
      <protection/>
    </xf>
    <xf numFmtId="2" fontId="36" fillId="0" borderId="12" xfId="0" applyNumberFormat="1" applyFont="1" applyFill="1" applyBorder="1" applyAlignment="1">
      <alignment horizontal="center"/>
    </xf>
    <xf numFmtId="2" fontId="36" fillId="0" borderId="0" xfId="0" applyNumberFormat="1" applyFont="1" applyFill="1" applyBorder="1" applyAlignment="1">
      <alignment horizontal="center"/>
    </xf>
    <xf numFmtId="0" fontId="22" fillId="0" borderId="11" xfId="0" applyFont="1" applyFill="1" applyBorder="1" applyAlignment="1">
      <alignment horizontal="center"/>
    </xf>
    <xf numFmtId="4" fontId="22" fillId="0" borderId="11" xfId="0" applyNumberFormat="1" applyFont="1" applyFill="1" applyBorder="1" applyAlignment="1">
      <alignment horizontal="center"/>
    </xf>
    <xf numFmtId="4" fontId="22" fillId="0" borderId="11" xfId="0" applyNumberFormat="1" applyFont="1" applyFill="1" applyBorder="1" applyAlignment="1">
      <alignment horizontal="center"/>
    </xf>
    <xf numFmtId="2" fontId="23" fillId="0" borderId="12" xfId="0" applyNumberFormat="1" applyFont="1" applyFill="1" applyBorder="1" applyAlignment="1">
      <alignment horizontal="center"/>
    </xf>
    <xf numFmtId="0" fontId="25" fillId="0" borderId="13" xfId="0" applyFont="1" applyFill="1" applyBorder="1" applyAlignment="1">
      <alignment horizontal="center"/>
    </xf>
    <xf numFmtId="2" fontId="24" fillId="0" borderId="11" xfId="0" applyNumberFormat="1" applyFont="1" applyFill="1" applyBorder="1" applyAlignment="1">
      <alignment horizontal="center" wrapText="1"/>
    </xf>
    <xf numFmtId="2" fontId="25" fillId="0" borderId="11" xfId="0" applyNumberFormat="1" applyFont="1" applyFill="1" applyBorder="1" applyAlignment="1">
      <alignment horizontal="center" wrapText="1"/>
    </xf>
    <xf numFmtId="0" fontId="0" fillId="0" borderId="14" xfId="0" applyFont="1" applyFill="1" applyBorder="1" applyAlignment="1">
      <alignment/>
    </xf>
    <xf numFmtId="0" fontId="0" fillId="0" borderId="11" xfId="0" applyFont="1" applyFill="1" applyBorder="1" applyAlignment="1">
      <alignment horizontal="center" wrapText="1"/>
    </xf>
    <xf numFmtId="3" fontId="0" fillId="0" borderId="11" xfId="0" applyNumberFormat="1" applyFont="1" applyFill="1" applyBorder="1" applyAlignment="1">
      <alignment horizontal="center"/>
    </xf>
    <xf numFmtId="2" fontId="0" fillId="0" borderId="14" xfId="0" applyNumberFormat="1" applyFont="1" applyFill="1" applyBorder="1" applyAlignment="1">
      <alignment horizontal="center"/>
    </xf>
    <xf numFmtId="0" fontId="0" fillId="0" borderId="11" xfId="0" applyFont="1" applyFill="1" applyBorder="1" applyAlignment="1">
      <alignment horizontal="center"/>
    </xf>
    <xf numFmtId="2" fontId="0" fillId="0" borderId="11" xfId="0" applyNumberFormat="1" applyFont="1" applyFill="1" applyBorder="1" applyAlignment="1">
      <alignment horizontal="center" wrapText="1"/>
    </xf>
    <xf numFmtId="2" fontId="0" fillId="0" borderId="14" xfId="0" applyNumberFormat="1" applyFont="1" applyFill="1" applyBorder="1" applyAlignment="1">
      <alignment horizontal="center" wrapText="1"/>
    </xf>
    <xf numFmtId="0" fontId="0" fillId="0" borderId="15" xfId="0" applyFont="1" applyFill="1" applyBorder="1" applyAlignment="1">
      <alignment horizontal="center"/>
    </xf>
    <xf numFmtId="0" fontId="24" fillId="0" borderId="15" xfId="0" applyFont="1" applyFill="1" applyBorder="1" applyAlignment="1">
      <alignment horizontal="center" wrapText="1"/>
    </xf>
    <xf numFmtId="4" fontId="0" fillId="0" borderId="15" xfId="0" applyNumberFormat="1" applyFont="1" applyFill="1" applyBorder="1" applyAlignment="1">
      <alignment horizontal="center"/>
    </xf>
    <xf numFmtId="0" fontId="0" fillId="0" borderId="15" xfId="0" applyFont="1" applyFill="1" applyBorder="1" applyAlignment="1">
      <alignment/>
    </xf>
    <xf numFmtId="0" fontId="22" fillId="0" borderId="11" xfId="0" applyFont="1" applyFill="1" applyBorder="1" applyAlignment="1">
      <alignment horizontal="center"/>
    </xf>
    <xf numFmtId="3" fontId="22" fillId="0" borderId="16" xfId="0" applyNumberFormat="1" applyFont="1" applyFill="1" applyBorder="1" applyAlignment="1">
      <alignment horizontal="center"/>
    </xf>
    <xf numFmtId="0" fontId="22" fillId="0" borderId="16" xfId="0" applyFont="1" applyFill="1" applyBorder="1" applyAlignment="1">
      <alignment horizontal="center" wrapText="1"/>
    </xf>
    <xf numFmtId="2" fontId="22" fillId="0" borderId="16" xfId="0" applyNumberFormat="1" applyFont="1" applyFill="1" applyBorder="1" applyAlignment="1">
      <alignment horizontal="center"/>
    </xf>
    <xf numFmtId="4" fontId="22" fillId="0" borderId="16" xfId="0" applyNumberFormat="1" applyFont="1" applyFill="1" applyBorder="1" applyAlignment="1">
      <alignment wrapText="1"/>
    </xf>
    <xf numFmtId="4" fontId="22" fillId="0" borderId="14" xfId="0" applyNumberFormat="1" applyFont="1" applyFill="1" applyBorder="1" applyAlignment="1">
      <alignment horizontal="center"/>
    </xf>
    <xf numFmtId="4" fontId="0" fillId="0" borderId="11" xfId="0" applyNumberFormat="1" applyFont="1" applyFill="1" applyBorder="1" applyAlignment="1">
      <alignment/>
    </xf>
    <xf numFmtId="0" fontId="24" fillId="0" borderId="17" xfId="0" applyFont="1" applyFill="1" applyBorder="1" applyAlignment="1">
      <alignment horizontal="center"/>
    </xf>
    <xf numFmtId="3" fontId="22" fillId="0" borderId="15" xfId="0" applyNumberFormat="1" applyFont="1" applyFill="1" applyBorder="1" applyAlignment="1">
      <alignment horizontal="center"/>
    </xf>
    <xf numFmtId="0" fontId="22" fillId="0" borderId="15" xfId="0" applyFont="1" applyFill="1" applyBorder="1" applyAlignment="1">
      <alignment horizontal="center" wrapText="1"/>
    </xf>
    <xf numFmtId="4" fontId="22" fillId="0" borderId="15" xfId="0" applyNumberFormat="1" applyFont="1" applyFill="1" applyBorder="1" applyAlignment="1">
      <alignment horizontal="center"/>
    </xf>
    <xf numFmtId="4" fontId="22" fillId="0" borderId="15" xfId="0" applyNumberFormat="1" applyFont="1" applyFill="1" applyBorder="1" applyAlignment="1">
      <alignment/>
    </xf>
    <xf numFmtId="2" fontId="0" fillId="0" borderId="17" xfId="0" applyNumberFormat="1" applyFont="1" applyFill="1" applyBorder="1" applyAlignment="1">
      <alignment horizontal="center"/>
    </xf>
    <xf numFmtId="0" fontId="20" fillId="0" borderId="17" xfId="0" applyFont="1" applyFill="1" applyBorder="1" applyAlignment="1">
      <alignment horizontal="center"/>
    </xf>
    <xf numFmtId="3" fontId="20" fillId="0" borderId="18" xfId="0" applyNumberFormat="1" applyFont="1" applyFill="1" applyBorder="1" applyAlignment="1">
      <alignment horizontal="center"/>
    </xf>
    <xf numFmtId="0" fontId="20" fillId="0" borderId="18" xfId="0" applyFont="1" applyFill="1" applyBorder="1" applyAlignment="1">
      <alignment horizontal="center" wrapText="1"/>
    </xf>
    <xf numFmtId="4" fontId="20" fillId="0" borderId="18" xfId="0" applyNumberFormat="1" applyFont="1" applyFill="1" applyBorder="1" applyAlignment="1">
      <alignment horizontal="center"/>
    </xf>
    <xf numFmtId="4" fontId="20" fillId="0" borderId="18" xfId="0" applyNumberFormat="1" applyFont="1" applyFill="1" applyBorder="1" applyAlignment="1">
      <alignment/>
    </xf>
    <xf numFmtId="2" fontId="21" fillId="0" borderId="17" xfId="0" applyNumberFormat="1" applyFont="1" applyFill="1" applyBorder="1" applyAlignment="1">
      <alignment horizontal="center"/>
    </xf>
    <xf numFmtId="2" fontId="21" fillId="0" borderId="14" xfId="0" applyNumberFormat="1" applyFont="1" applyFill="1" applyBorder="1" applyAlignment="1">
      <alignment horizontal="center"/>
    </xf>
    <xf numFmtId="0" fontId="21" fillId="0" borderId="0" xfId="0" applyFont="1" applyFill="1" applyBorder="1" applyAlignment="1">
      <alignment/>
    </xf>
    <xf numFmtId="0" fontId="21" fillId="0" borderId="0" xfId="0" applyFont="1" applyFill="1" applyAlignment="1">
      <alignment/>
    </xf>
    <xf numFmtId="4" fontId="20" fillId="0" borderId="19" xfId="0" applyNumberFormat="1" applyFont="1" applyFill="1" applyBorder="1" applyAlignment="1">
      <alignment/>
    </xf>
    <xf numFmtId="4" fontId="20" fillId="0" borderId="20" xfId="0"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Border="1" applyAlignment="1">
      <alignment horizontal="right"/>
    </xf>
    <xf numFmtId="0" fontId="22" fillId="0" borderId="0" xfId="0" applyFont="1" applyFill="1" applyAlignment="1">
      <alignment horizontal="left"/>
    </xf>
    <xf numFmtId="0" fontId="24" fillId="0" borderId="0" xfId="0" applyFont="1" applyFill="1" applyAlignment="1">
      <alignment horizontal="center"/>
    </xf>
    <xf numFmtId="0" fontId="0" fillId="0" borderId="0" xfId="0" applyFont="1" applyFill="1" applyAlignment="1">
      <alignment/>
    </xf>
    <xf numFmtId="0" fontId="0" fillId="17" borderId="10" xfId="0" applyFont="1" applyFill="1" applyBorder="1" applyAlignment="1">
      <alignment horizontal="center"/>
    </xf>
    <xf numFmtId="0" fontId="32" fillId="17" borderId="11" xfId="0" applyFont="1" applyFill="1" applyBorder="1" applyAlignment="1">
      <alignment horizontal="center" wrapText="1"/>
    </xf>
    <xf numFmtId="170" fontId="32" fillId="17" borderId="11" xfId="0" applyNumberFormat="1" applyFont="1" applyFill="1" applyBorder="1" applyAlignment="1">
      <alignment horizontal="center" wrapText="1"/>
    </xf>
    <xf numFmtId="171" fontId="32" fillId="17" borderId="11" xfId="0" applyNumberFormat="1" applyFont="1" applyFill="1" applyBorder="1" applyAlignment="1">
      <alignment horizontal="center" wrapText="1"/>
    </xf>
    <xf numFmtId="4" fontId="0" fillId="17" borderId="11" xfId="0" applyNumberFormat="1" applyFont="1" applyFill="1" applyBorder="1" applyAlignment="1">
      <alignment horizontal="center"/>
    </xf>
    <xf numFmtId="2" fontId="0" fillId="17" borderId="12" xfId="0" applyNumberFormat="1" applyFont="1" applyFill="1" applyBorder="1" applyAlignment="1">
      <alignment horizontal="center"/>
    </xf>
    <xf numFmtId="0" fontId="32" fillId="17" borderId="11" xfId="76" applyFont="1" applyFill="1" applyBorder="1" applyAlignment="1">
      <alignment horizontal="center" wrapText="1"/>
      <protection/>
    </xf>
    <xf numFmtId="0" fontId="24" fillId="17" borderId="11" xfId="0" applyFont="1" applyFill="1" applyBorder="1" applyAlignment="1">
      <alignment horizontal="center"/>
    </xf>
    <xf numFmtId="0" fontId="0" fillId="17" borderId="11" xfId="0" applyFont="1" applyFill="1" applyBorder="1" applyAlignment="1">
      <alignment horizontal="center"/>
    </xf>
    <xf numFmtId="0" fontId="24" fillId="17" borderId="11" xfId="0" applyFont="1" applyFill="1" applyBorder="1" applyAlignment="1">
      <alignment horizontal="center" wrapText="1"/>
    </xf>
    <xf numFmtId="4" fontId="0" fillId="17" borderId="11" xfId="0" applyNumberFormat="1" applyFont="1" applyFill="1" applyBorder="1" applyAlignment="1">
      <alignment/>
    </xf>
    <xf numFmtId="2" fontId="0" fillId="17" borderId="11" xfId="0" applyNumberFormat="1" applyFont="1" applyFill="1" applyBorder="1" applyAlignment="1">
      <alignment horizontal="center"/>
    </xf>
    <xf numFmtId="0" fontId="24" fillId="17" borderId="17" xfId="0" applyFont="1" applyFill="1" applyBorder="1" applyAlignment="1">
      <alignment horizontal="center"/>
    </xf>
    <xf numFmtId="3" fontId="22" fillId="17" borderId="15" xfId="0" applyNumberFormat="1" applyFont="1" applyFill="1" applyBorder="1" applyAlignment="1">
      <alignment horizontal="center"/>
    </xf>
    <xf numFmtId="0" fontId="22" fillId="17" borderId="15" xfId="0" applyFont="1" applyFill="1" applyBorder="1" applyAlignment="1">
      <alignment horizontal="center" wrapText="1"/>
    </xf>
    <xf numFmtId="4" fontId="22" fillId="17" borderId="15" xfId="0" applyNumberFormat="1" applyFont="1" applyFill="1" applyBorder="1" applyAlignment="1">
      <alignment horizontal="center"/>
    </xf>
    <xf numFmtId="4" fontId="22" fillId="17" borderId="15" xfId="0" applyNumberFormat="1" applyFont="1" applyFill="1" applyBorder="1" applyAlignment="1">
      <alignment/>
    </xf>
    <xf numFmtId="2" fontId="0" fillId="17" borderId="17" xfId="0" applyNumberFormat="1" applyFont="1" applyFill="1" applyBorder="1" applyAlignment="1">
      <alignment horizontal="center"/>
    </xf>
    <xf numFmtId="2" fontId="23" fillId="0" borderId="11" xfId="0" applyNumberFormat="1" applyFont="1" applyFill="1" applyBorder="1" applyAlignment="1">
      <alignment horizontal="center"/>
    </xf>
    <xf numFmtId="0" fontId="22" fillId="0" borderId="11" xfId="0" applyFont="1" applyFill="1" applyBorder="1" applyAlignment="1">
      <alignment horizontal="center" wrapText="1"/>
    </xf>
    <xf numFmtId="0" fontId="23" fillId="0" borderId="11" xfId="0" applyFont="1" applyFill="1" applyBorder="1" applyAlignment="1">
      <alignment/>
    </xf>
    <xf numFmtId="1" fontId="37" fillId="0" borderId="11" xfId="77" applyNumberFormat="1" applyFont="1" applyFill="1" applyBorder="1" applyAlignment="1">
      <alignment horizontal="center" vertical="center"/>
      <protection/>
    </xf>
    <xf numFmtId="0" fontId="23" fillId="0" borderId="11" xfId="0" applyFont="1" applyFill="1" applyBorder="1" applyAlignment="1">
      <alignment horizontal="center"/>
    </xf>
    <xf numFmtId="0" fontId="39" fillId="0" borderId="11" xfId="0" applyFont="1" applyFill="1" applyBorder="1" applyAlignment="1">
      <alignment horizontal="center" wrapText="1"/>
    </xf>
    <xf numFmtId="170" fontId="39" fillId="0" borderId="11" xfId="0" applyNumberFormat="1" applyFont="1" applyFill="1" applyBorder="1" applyAlignment="1">
      <alignment horizontal="center" wrapText="1"/>
    </xf>
    <xf numFmtId="2" fontId="22" fillId="0" borderId="12" xfId="0" applyNumberFormat="1" applyFont="1" applyFill="1" applyBorder="1" applyAlignment="1">
      <alignment horizontal="center" wrapText="1"/>
    </xf>
    <xf numFmtId="0" fontId="23" fillId="0" borderId="10" xfId="0" applyFont="1" applyFill="1" applyBorder="1" applyAlignment="1">
      <alignment horizontal="center"/>
    </xf>
    <xf numFmtId="0" fontId="40" fillId="0" borderId="11" xfId="76" applyNumberFormat="1" applyFont="1" applyFill="1" applyBorder="1" applyAlignment="1" quotePrefix="1">
      <alignment horizontal="center" wrapText="1"/>
      <protection/>
    </xf>
    <xf numFmtId="170" fontId="40" fillId="0" borderId="11" xfId="76" applyNumberFormat="1" applyFont="1" applyFill="1" applyBorder="1" applyAlignment="1">
      <alignment horizontal="center" wrapText="1"/>
      <protection/>
    </xf>
    <xf numFmtId="0" fontId="40" fillId="0" borderId="11" xfId="0" applyFont="1" applyFill="1" applyBorder="1" applyAlignment="1">
      <alignment horizontal="center" wrapText="1"/>
    </xf>
    <xf numFmtId="171" fontId="40" fillId="0" borderId="11" xfId="0" applyNumberFormat="1" applyFont="1" applyFill="1" applyBorder="1" applyAlignment="1">
      <alignment horizontal="center" wrapText="1"/>
    </xf>
    <xf numFmtId="4" fontId="23" fillId="0" borderId="11" xfId="0" applyNumberFormat="1" applyFont="1" applyFill="1" applyBorder="1" applyAlignment="1">
      <alignment horizontal="center"/>
    </xf>
    <xf numFmtId="170" fontId="40" fillId="0" borderId="11" xfId="0" applyNumberFormat="1" applyFont="1" applyFill="1" applyBorder="1" applyAlignment="1">
      <alignment horizontal="center" wrapText="1"/>
    </xf>
    <xf numFmtId="0" fontId="40" fillId="0" borderId="11" xfId="76" applyNumberFormat="1" applyFont="1" applyFill="1" applyBorder="1" applyAlignment="1">
      <alignment horizontal="center" wrapText="1"/>
      <protection/>
    </xf>
    <xf numFmtId="0" fontId="23" fillId="0" borderId="11" xfId="0" applyFont="1" applyFill="1" applyBorder="1" applyAlignment="1">
      <alignment horizontal="center" vertical="center" wrapText="1"/>
    </xf>
    <xf numFmtId="4" fontId="23" fillId="0" borderId="11" xfId="0" applyNumberFormat="1" applyFont="1" applyFill="1" applyBorder="1" applyAlignment="1">
      <alignment horizontal="center"/>
    </xf>
    <xf numFmtId="4" fontId="22" fillId="0" borderId="12" xfId="0" applyNumberFormat="1" applyFont="1" applyFill="1" applyBorder="1" applyAlignment="1">
      <alignment horizontal="center"/>
    </xf>
    <xf numFmtId="0" fontId="40" fillId="0" borderId="11" xfId="76" applyFont="1" applyFill="1" applyBorder="1" applyAlignment="1">
      <alignment horizontal="center" wrapText="1"/>
      <protection/>
    </xf>
    <xf numFmtId="0" fontId="41" fillId="0" borderId="0" xfId="0" applyFont="1" applyFill="1" applyBorder="1" applyAlignment="1">
      <alignment/>
    </xf>
    <xf numFmtId="0" fontId="41" fillId="0" borderId="0" xfId="0" applyFont="1" applyFill="1" applyAlignment="1">
      <alignment/>
    </xf>
    <xf numFmtId="2" fontId="22" fillId="0" borderId="11" xfId="0" applyNumberFormat="1" applyFont="1" applyFill="1" applyBorder="1" applyAlignment="1">
      <alignment horizontal="center" wrapText="1"/>
    </xf>
    <xf numFmtId="0" fontId="23" fillId="0" borderId="11" xfId="0" applyFont="1" applyFill="1" applyBorder="1" applyAlignment="1">
      <alignment horizontal="center" wrapText="1"/>
    </xf>
    <xf numFmtId="3" fontId="23" fillId="0" borderId="11" xfId="0" applyNumberFormat="1" applyFont="1" applyFill="1" applyBorder="1" applyAlignment="1">
      <alignment horizontal="center"/>
    </xf>
    <xf numFmtId="2" fontId="23" fillId="0" borderId="11" xfId="0" applyNumberFormat="1" applyFont="1" applyFill="1" applyBorder="1" applyAlignment="1">
      <alignment horizontal="center" wrapText="1"/>
    </xf>
    <xf numFmtId="0" fontId="23" fillId="0" borderId="0" xfId="0" applyFont="1" applyFill="1" applyAlignment="1">
      <alignment horizontal="center"/>
    </xf>
    <xf numFmtId="0" fontId="23" fillId="0" borderId="0" xfId="0" applyFont="1" applyFill="1" applyAlignment="1">
      <alignment horizontal="right"/>
    </xf>
    <xf numFmtId="0" fontId="23" fillId="0" borderId="0" xfId="0" applyFont="1" applyFill="1" applyBorder="1" applyAlignment="1">
      <alignment horizontal="right"/>
    </xf>
    <xf numFmtId="0" fontId="22" fillId="0" borderId="0" xfId="0" applyFont="1" applyFill="1" applyBorder="1" applyAlignment="1">
      <alignment horizontal="center"/>
    </xf>
    <xf numFmtId="0" fontId="22" fillId="0" borderId="21" xfId="0" applyFont="1" applyFill="1" applyBorder="1" applyAlignment="1">
      <alignment horizontal="center" wrapText="1"/>
    </xf>
    <xf numFmtId="0" fontId="39" fillId="0" borderId="22" xfId="0" applyFont="1" applyFill="1" applyBorder="1" applyAlignment="1">
      <alignment horizontal="center" wrapText="1"/>
    </xf>
    <xf numFmtId="170" fontId="39" fillId="0" borderId="22" xfId="0" applyNumberFormat="1" applyFont="1" applyFill="1" applyBorder="1" applyAlignment="1">
      <alignment horizontal="center" wrapText="1"/>
    </xf>
    <xf numFmtId="0" fontId="22" fillId="0" borderId="22" xfId="0" applyFont="1" applyFill="1" applyBorder="1" applyAlignment="1">
      <alignment horizontal="center" wrapText="1"/>
    </xf>
    <xf numFmtId="2" fontId="22" fillId="0" borderId="23" xfId="0" applyNumberFormat="1" applyFont="1" applyFill="1" applyBorder="1" applyAlignment="1">
      <alignment horizontal="center" wrapText="1"/>
    </xf>
    <xf numFmtId="4" fontId="22" fillId="0" borderId="12" xfId="0" applyNumberFormat="1" applyFont="1" applyFill="1" applyBorder="1" applyAlignment="1">
      <alignment/>
    </xf>
    <xf numFmtId="0" fontId="23" fillId="0" borderId="24" xfId="0" applyFont="1" applyFill="1" applyBorder="1" applyAlignment="1">
      <alignment/>
    </xf>
    <xf numFmtId="0" fontId="23" fillId="0" borderId="0" xfId="0" applyFont="1" applyFill="1" applyBorder="1" applyAlignment="1">
      <alignment horizontal="center"/>
    </xf>
    <xf numFmtId="0" fontId="23" fillId="0" borderId="14" xfId="0" applyFont="1" applyFill="1" applyBorder="1" applyAlignment="1">
      <alignment/>
    </xf>
    <xf numFmtId="0" fontId="22" fillId="0" borderId="0" xfId="0" applyFont="1" applyFill="1" applyBorder="1" applyAlignment="1">
      <alignment horizontal="left"/>
    </xf>
    <xf numFmtId="0" fontId="23" fillId="0" borderId="0" xfId="0" applyFont="1" applyFill="1" applyBorder="1" applyAlignment="1">
      <alignment/>
    </xf>
    <xf numFmtId="0" fontId="23" fillId="0" borderId="25" xfId="0" applyFont="1" applyFill="1" applyBorder="1" applyAlignment="1">
      <alignment/>
    </xf>
    <xf numFmtId="0" fontId="22" fillId="0" borderId="26" xfId="0" applyFont="1" applyFill="1" applyBorder="1" applyAlignment="1">
      <alignment horizontal="center"/>
    </xf>
    <xf numFmtId="0" fontId="23" fillId="0" borderId="26" xfId="0" applyFont="1" applyFill="1" applyBorder="1" applyAlignment="1">
      <alignment/>
    </xf>
    <xf numFmtId="0" fontId="23" fillId="0" borderId="26" xfId="0" applyFont="1" applyFill="1" applyBorder="1" applyAlignment="1">
      <alignment horizontal="right"/>
    </xf>
    <xf numFmtId="0" fontId="23" fillId="0" borderId="26" xfId="0" applyFont="1" applyFill="1" applyBorder="1" applyAlignment="1">
      <alignment horizontal="center"/>
    </xf>
    <xf numFmtId="0" fontId="23" fillId="0" borderId="20" xfId="0" applyFont="1" applyFill="1" applyBorder="1" applyAlignment="1">
      <alignment/>
    </xf>
    <xf numFmtId="0" fontId="22" fillId="0" borderId="24" xfId="0" applyFont="1" applyFill="1" applyBorder="1" applyAlignment="1">
      <alignment/>
    </xf>
    <xf numFmtId="2" fontId="21" fillId="0" borderId="12" xfId="0" applyNumberFormat="1" applyFont="1" applyFill="1" applyBorder="1" applyAlignment="1">
      <alignment horizontal="center"/>
    </xf>
    <xf numFmtId="0" fontId="20" fillId="0" borderId="12" xfId="0" applyFont="1" applyFill="1" applyBorder="1" applyAlignment="1">
      <alignment horizontal="center"/>
    </xf>
    <xf numFmtId="168" fontId="21" fillId="0" borderId="0" xfId="0" applyNumberFormat="1" applyFont="1" applyFill="1" applyBorder="1" applyAlignment="1">
      <alignment/>
    </xf>
    <xf numFmtId="3" fontId="20" fillId="0" borderId="17" xfId="0" applyNumberFormat="1" applyFont="1" applyFill="1" applyBorder="1" applyAlignment="1">
      <alignment horizontal="center"/>
    </xf>
    <xf numFmtId="0" fontId="20" fillId="0" borderId="17" xfId="0" applyFont="1" applyFill="1" applyBorder="1" applyAlignment="1">
      <alignment horizontal="center" wrapText="1"/>
    </xf>
    <xf numFmtId="2" fontId="20" fillId="0" borderId="17" xfId="0" applyNumberFormat="1" applyFont="1" applyFill="1" applyBorder="1" applyAlignment="1">
      <alignment horizontal="center"/>
    </xf>
    <xf numFmtId="4" fontId="23" fillId="0" borderId="15" xfId="0" applyNumberFormat="1" applyFont="1" applyFill="1" applyBorder="1" applyAlignment="1">
      <alignment horizontal="center"/>
    </xf>
    <xf numFmtId="4" fontId="20" fillId="0" borderId="16" xfId="0" applyNumberFormat="1" applyFont="1" applyFill="1" applyBorder="1" applyAlignment="1">
      <alignment horizontal="center"/>
    </xf>
    <xf numFmtId="4" fontId="22" fillId="0" borderId="27" xfId="0" applyNumberFormat="1" applyFont="1" applyFill="1" applyBorder="1" applyAlignment="1">
      <alignment horizontal="center"/>
    </xf>
    <xf numFmtId="4" fontId="20" fillId="0" borderId="28" xfId="0" applyNumberFormat="1" applyFont="1" applyFill="1" applyBorder="1" applyAlignment="1">
      <alignment/>
    </xf>
    <xf numFmtId="4" fontId="20" fillId="0" borderId="15" xfId="0" applyNumberFormat="1" applyFont="1" applyFill="1" applyBorder="1" applyAlignment="1">
      <alignment wrapText="1"/>
    </xf>
    <xf numFmtId="4" fontId="42" fillId="0" borderId="19" xfId="0" applyNumberFormat="1" applyFont="1" applyFill="1" applyBorder="1" applyAlignment="1">
      <alignment/>
    </xf>
    <xf numFmtId="0" fontId="22" fillId="0" borderId="0" xfId="0" applyFont="1" applyFill="1" applyBorder="1" applyAlignment="1">
      <alignment horizontal="right"/>
    </xf>
    <xf numFmtId="0" fontId="22" fillId="0" borderId="0" xfId="0" applyFont="1" applyFill="1" applyBorder="1" applyAlignment="1">
      <alignment/>
    </xf>
    <xf numFmtId="0" fontId="0" fillId="0" borderId="0" xfId="0" applyFont="1" applyFill="1" applyAlignment="1">
      <alignment vertical="top" wrapText="1"/>
    </xf>
    <xf numFmtId="0" fontId="21" fillId="0" borderId="29" xfId="0" applyFont="1" applyFill="1" applyBorder="1" applyAlignment="1">
      <alignment/>
    </xf>
    <xf numFmtId="0" fontId="21" fillId="0" borderId="30" xfId="0" applyFont="1" applyFill="1" applyBorder="1" applyAlignment="1">
      <alignment/>
    </xf>
    <xf numFmtId="0" fontId="34" fillId="0" borderId="31" xfId="0" applyFont="1" applyFill="1" applyBorder="1" applyAlignment="1">
      <alignment horizontal="center" wrapText="1"/>
    </xf>
    <xf numFmtId="0" fontId="21" fillId="0" borderId="18" xfId="0" applyFont="1" applyFill="1" applyBorder="1" applyAlignment="1">
      <alignment/>
    </xf>
    <xf numFmtId="0" fontId="24" fillId="0" borderId="11" xfId="0" applyNumberFormat="1" applyFont="1" applyFill="1" applyBorder="1" applyAlignment="1">
      <alignment horizontal="center" vertical="top" wrapText="1"/>
    </xf>
    <xf numFmtId="0" fontId="24" fillId="0" borderId="11" xfId="0"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4" fontId="21" fillId="0" borderId="18" xfId="0" applyNumberFormat="1" applyFont="1" applyFill="1" applyBorder="1" applyAlignment="1">
      <alignment horizontal="center"/>
    </xf>
    <xf numFmtId="0" fontId="24" fillId="0" borderId="0" xfId="0" applyFont="1" applyBorder="1" applyAlignment="1">
      <alignment horizontal="center" vertical="top" wrapText="1"/>
    </xf>
    <xf numFmtId="0" fontId="24"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21" fillId="0" borderId="16" xfId="0" applyFont="1" applyFill="1" applyBorder="1" applyAlignment="1">
      <alignment horizontal="center"/>
    </xf>
    <xf numFmtId="0" fontId="21" fillId="0" borderId="32" xfId="0" applyFont="1" applyFill="1" applyBorder="1" applyAlignment="1">
      <alignment/>
    </xf>
    <xf numFmtId="4" fontId="22" fillId="0" borderId="33" xfId="0" applyNumberFormat="1" applyFont="1" applyFill="1" applyBorder="1" applyAlignment="1">
      <alignment horizontal="center"/>
    </xf>
    <xf numFmtId="0" fontId="20" fillId="0" borderId="33" xfId="0" applyFont="1" applyFill="1" applyBorder="1" applyAlignment="1">
      <alignment horizontal="center"/>
    </xf>
    <xf numFmtId="2" fontId="22" fillId="0" borderId="34" xfId="0" applyNumberFormat="1" applyFont="1" applyFill="1" applyBorder="1" applyAlignment="1">
      <alignment horizontal="center" wrapText="1"/>
    </xf>
    <xf numFmtId="2" fontId="23" fillId="0" borderId="35" xfId="0" applyNumberFormat="1" applyFont="1" applyFill="1" applyBorder="1" applyAlignment="1">
      <alignment horizontal="center"/>
    </xf>
    <xf numFmtId="2" fontId="23" fillId="0" borderId="36" xfId="0" applyNumberFormat="1" applyFont="1" applyFill="1" applyBorder="1" applyAlignment="1">
      <alignment horizontal="center"/>
    </xf>
    <xf numFmtId="2" fontId="23" fillId="0" borderId="33" xfId="0" applyNumberFormat="1" applyFont="1" applyFill="1" applyBorder="1" applyAlignment="1">
      <alignment horizontal="center"/>
    </xf>
    <xf numFmtId="2" fontId="23" fillId="0" borderId="33" xfId="0" applyNumberFormat="1" applyFont="1" applyFill="1" applyBorder="1" applyAlignment="1">
      <alignment horizontal="center" wrapText="1"/>
    </xf>
    <xf numFmtId="4" fontId="42" fillId="0" borderId="36" xfId="0" applyNumberFormat="1" applyFont="1" applyFill="1" applyBorder="1" applyAlignment="1">
      <alignment/>
    </xf>
    <xf numFmtId="2" fontId="20" fillId="0" borderId="11" xfId="0" applyNumberFormat="1" applyFont="1" applyFill="1" applyBorder="1" applyAlignment="1">
      <alignment horizontal="center"/>
    </xf>
    <xf numFmtId="4" fontId="22" fillId="0" borderId="0" xfId="0" applyNumberFormat="1" applyFont="1" applyFill="1" applyBorder="1" applyAlignment="1">
      <alignment horizontal="center"/>
    </xf>
    <xf numFmtId="2" fontId="42" fillId="0" borderId="26"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1" xfId="0" applyNumberFormat="1" applyFont="1" applyFill="1" applyBorder="1" applyAlignment="1">
      <alignment horizontal="center" vertical="center"/>
    </xf>
    <xf numFmtId="0" fontId="30" fillId="20" borderId="10" xfId="0" applyFont="1" applyFill="1" applyBorder="1" applyAlignment="1">
      <alignment horizontal="center" wrapText="1"/>
    </xf>
    <xf numFmtId="0" fontId="23" fillId="0" borderId="11" xfId="0" applyFont="1" applyFill="1" applyBorder="1" applyAlignment="1">
      <alignment horizontal="center"/>
    </xf>
    <xf numFmtId="0" fontId="25" fillId="20" borderId="10" xfId="0" applyFont="1" applyFill="1" applyBorder="1" applyAlignment="1">
      <alignment horizontal="center"/>
    </xf>
    <xf numFmtId="0" fontId="25" fillId="20" borderId="11"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2" fillId="20" borderId="21" xfId="0" applyFont="1" applyFill="1" applyBorder="1" applyAlignment="1">
      <alignment horizontal="center" wrapText="1"/>
    </xf>
    <xf numFmtId="0" fontId="0" fillId="20" borderId="22" xfId="0" applyFill="1" applyBorder="1" applyAlignment="1">
      <alignment horizontal="center"/>
    </xf>
    <xf numFmtId="0" fontId="0" fillId="0" borderId="23" xfId="0" applyBorder="1" applyAlignment="1">
      <alignment horizontal="center"/>
    </xf>
    <xf numFmtId="172" fontId="23" fillId="0" borderId="11" xfId="0" applyNumberFormat="1" applyFont="1" applyFill="1" applyBorder="1" applyAlignment="1">
      <alignment horizontal="center"/>
    </xf>
    <xf numFmtId="0" fontId="24" fillId="0" borderId="0" xfId="0" applyFont="1" applyFill="1" applyAlignment="1">
      <alignment horizontal="center"/>
    </xf>
    <xf numFmtId="0" fontId="24"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22" fillId="0" borderId="10" xfId="0" applyFont="1" applyFill="1" applyBorder="1" applyAlignment="1">
      <alignment horizontal="center"/>
    </xf>
    <xf numFmtId="0" fontId="22" fillId="0" borderId="11" xfId="0" applyFont="1" applyFill="1" applyBorder="1" applyAlignment="1">
      <alignment horizontal="center"/>
    </xf>
    <xf numFmtId="0" fontId="20" fillId="0" borderId="37" xfId="0" applyFont="1" applyFill="1" applyBorder="1" applyAlignment="1">
      <alignment horizontal="center"/>
    </xf>
    <xf numFmtId="0" fontId="21" fillId="0" borderId="19" xfId="0" applyFont="1" applyFill="1" applyBorder="1" applyAlignment="1">
      <alignment horizontal="center"/>
    </xf>
    <xf numFmtId="0" fontId="38" fillId="0" borderId="0" xfId="0" applyFont="1" applyFill="1" applyAlignment="1">
      <alignment horizontal="right"/>
    </xf>
    <xf numFmtId="0" fontId="20" fillId="0" borderId="38" xfId="0" applyFont="1" applyFill="1" applyBorder="1" applyAlignment="1">
      <alignment horizontal="center"/>
    </xf>
    <xf numFmtId="0" fontId="20" fillId="0" borderId="39" xfId="0" applyFont="1" applyFill="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1" fontId="37" fillId="0" borderId="10" xfId="77" applyNumberFormat="1" applyFont="1" applyFill="1" applyBorder="1" applyAlignment="1">
      <alignment horizontal="center" vertical="center"/>
      <protection/>
    </xf>
    <xf numFmtId="1" fontId="37" fillId="0" borderId="11" xfId="77" applyNumberFormat="1" applyFont="1" applyFill="1" applyBorder="1" applyAlignment="1">
      <alignment horizontal="center" vertical="center"/>
      <protection/>
    </xf>
    <xf numFmtId="0" fontId="0" fillId="20" borderId="11" xfId="0" applyFill="1" applyBorder="1" applyAlignment="1">
      <alignment/>
    </xf>
    <xf numFmtId="0" fontId="0" fillId="0" borderId="12" xfId="0" applyBorder="1" applyAlignment="1">
      <alignment/>
    </xf>
    <xf numFmtId="1" fontId="33" fillId="0" borderId="10" xfId="77" applyNumberFormat="1" applyFont="1" applyFill="1" applyBorder="1" applyAlignment="1">
      <alignment horizontal="center" vertical="center"/>
      <protection/>
    </xf>
    <xf numFmtId="1" fontId="33" fillId="0" borderId="11" xfId="77" applyNumberFormat="1" applyFont="1" applyFill="1" applyBorder="1" applyAlignment="1">
      <alignment horizontal="center" vertical="center"/>
      <protection/>
    </xf>
    <xf numFmtId="0" fontId="34" fillId="20" borderId="10" xfId="0" applyFont="1" applyFill="1" applyBorder="1" applyAlignment="1">
      <alignment horizontal="center" wrapText="1"/>
    </xf>
    <xf numFmtId="0" fontId="34" fillId="20" borderId="11" xfId="0" applyFont="1" applyFill="1" applyBorder="1" applyAlignment="1">
      <alignment horizontal="center" wrapText="1"/>
    </xf>
    <xf numFmtId="0" fontId="0" fillId="20" borderId="11" xfId="0" applyFill="1" applyBorder="1" applyAlignment="1">
      <alignment wrapText="1"/>
    </xf>
    <xf numFmtId="0" fontId="0" fillId="20" borderId="12" xfId="0" applyFill="1" applyBorder="1" applyAlignment="1">
      <alignment wrapText="1"/>
    </xf>
    <xf numFmtId="0" fontId="0" fillId="17" borderId="10" xfId="0" applyFont="1" applyFill="1" applyBorder="1" applyAlignment="1">
      <alignment horizontal="center"/>
    </xf>
    <xf numFmtId="0" fontId="0" fillId="17" borderId="11" xfId="0" applyFont="1" applyFill="1" applyBorder="1" applyAlignment="1">
      <alignment horizontal="center"/>
    </xf>
    <xf numFmtId="0" fontId="0" fillId="17" borderId="10" xfId="0" applyFont="1" applyFill="1" applyBorder="1" applyAlignment="1">
      <alignment horizontal="center" wrapText="1"/>
    </xf>
    <xf numFmtId="0" fontId="0" fillId="17" borderId="11" xfId="0" applyFont="1" applyFill="1" applyBorder="1" applyAlignment="1">
      <alignment horizontal="center" wrapText="1"/>
    </xf>
    <xf numFmtId="0" fontId="22" fillId="17" borderId="10" xfId="0" applyFont="1" applyFill="1" applyBorder="1" applyAlignment="1">
      <alignment horizontal="center"/>
    </xf>
    <xf numFmtId="0" fontId="22" fillId="17" borderId="11" xfId="0" applyFont="1" applyFill="1" applyBorder="1" applyAlignment="1">
      <alignment horizontal="center"/>
    </xf>
    <xf numFmtId="2" fontId="22" fillId="0" borderId="30" xfId="0" applyNumberFormat="1" applyFont="1" applyFill="1" applyBorder="1" applyAlignment="1">
      <alignment horizontal="center" wrapText="1"/>
    </xf>
    <xf numFmtId="2" fontId="22" fillId="0" borderId="40" xfId="0" applyNumberFormat="1" applyFont="1" applyFill="1" applyBorder="1" applyAlignment="1">
      <alignment horizontal="center" wrapText="1"/>
    </xf>
    <xf numFmtId="2" fontId="23" fillId="0" borderId="13" xfId="0" applyNumberFormat="1" applyFont="1" applyFill="1" applyBorder="1" applyAlignment="1">
      <alignment horizontal="center" wrapText="1"/>
    </xf>
    <xf numFmtId="2" fontId="23" fillId="0" borderId="40" xfId="0" applyNumberFormat="1" applyFont="1" applyFill="1" applyBorder="1" applyAlignment="1">
      <alignment horizontal="center" wrapText="1"/>
    </xf>
    <xf numFmtId="0" fontId="22" fillId="0" borderId="26" xfId="0" applyFont="1" applyFill="1" applyBorder="1" applyAlignment="1">
      <alignment horizontal="center"/>
    </xf>
    <xf numFmtId="0" fontId="23" fillId="0" borderId="10" xfId="0" applyFont="1" applyFill="1" applyBorder="1" applyAlignment="1">
      <alignment horizontal="center"/>
    </xf>
    <xf numFmtId="0" fontId="23" fillId="0" borderId="10" xfId="0" applyFont="1" applyFill="1" applyBorder="1" applyAlignment="1">
      <alignment horizontal="center" wrapText="1"/>
    </xf>
    <xf numFmtId="0" fontId="23" fillId="0" borderId="11" xfId="0" applyFont="1" applyFill="1" applyBorder="1" applyAlignment="1">
      <alignment horizontal="center" wrapText="1"/>
    </xf>
    <xf numFmtId="0" fontId="22" fillId="0" borderId="0" xfId="0" applyFont="1" applyFill="1" applyBorder="1" applyAlignment="1">
      <alignment horizontal="center"/>
    </xf>
    <xf numFmtId="0" fontId="20" fillId="0" borderId="41" xfId="0" applyFont="1" applyFill="1" applyBorder="1" applyAlignment="1">
      <alignment horizontal="center"/>
    </xf>
    <xf numFmtId="0" fontId="20" fillId="0" borderId="17" xfId="0" applyFont="1" applyFill="1" applyBorder="1" applyAlignment="1">
      <alignment horizontal="center"/>
    </xf>
    <xf numFmtId="0" fontId="42" fillId="0" borderId="42" xfId="0" applyFont="1" applyFill="1" applyBorder="1" applyAlignment="1">
      <alignment horizontal="center"/>
    </xf>
    <xf numFmtId="0" fontId="43" fillId="0" borderId="43" xfId="0" applyFont="1" applyFill="1" applyBorder="1" applyAlignment="1">
      <alignment horizontal="center"/>
    </xf>
    <xf numFmtId="0" fontId="43" fillId="0" borderId="44" xfId="0" applyFont="1" applyFill="1" applyBorder="1" applyAlignment="1">
      <alignment horizontal="center"/>
    </xf>
    <xf numFmtId="0" fontId="22" fillId="0" borderId="24" xfId="0" applyFont="1" applyFill="1" applyBorder="1" applyAlignment="1">
      <alignment horizontal="right"/>
    </xf>
    <xf numFmtId="0" fontId="39" fillId="0" borderId="10" xfId="0" applyFont="1" applyFill="1" applyBorder="1" applyAlignment="1">
      <alignment horizontal="center" wrapText="1"/>
    </xf>
    <xf numFmtId="0" fontId="39" fillId="0" borderId="11" xfId="0" applyFont="1" applyFill="1" applyBorder="1" applyAlignment="1">
      <alignment horizontal="center" wrapText="1"/>
    </xf>
    <xf numFmtId="0" fontId="23" fillId="0" borderId="16" xfId="0" applyFont="1" applyFill="1" applyBorder="1" applyAlignment="1">
      <alignment wrapText="1"/>
    </xf>
    <xf numFmtId="0" fontId="23" fillId="0" borderId="35" xfId="0" applyFont="1" applyFill="1" applyBorder="1" applyAlignment="1">
      <alignment wrapText="1"/>
    </xf>
    <xf numFmtId="0" fontId="23" fillId="0" borderId="12" xfId="0" applyFont="1" applyFill="1" applyBorder="1" applyAlignment="1">
      <alignment wrapText="1"/>
    </xf>
    <xf numFmtId="0" fontId="20" fillId="0" borderId="10" xfId="0" applyFont="1" applyFill="1" applyBorder="1" applyAlignment="1">
      <alignment horizontal="center"/>
    </xf>
    <xf numFmtId="0" fontId="21" fillId="0" borderId="11" xfId="0" applyFont="1" applyFill="1" applyBorder="1" applyAlignment="1">
      <alignment horizontal="center"/>
    </xf>
    <xf numFmtId="0" fontId="20" fillId="0" borderId="11" xfId="0" applyFont="1" applyFill="1" applyBorder="1" applyAlignment="1">
      <alignment horizontal="center"/>
    </xf>
    <xf numFmtId="0" fontId="0" fillId="0" borderId="0" xfId="0" applyNumberFormat="1" applyFont="1" applyFill="1" applyAlignment="1">
      <alignment vertical="top" wrapText="1"/>
    </xf>
    <xf numFmtId="0" fontId="0" fillId="0" borderId="0" xfId="0" applyFont="1" applyFill="1" applyAlignment="1">
      <alignment vertical="top" wrapText="1"/>
    </xf>
    <xf numFmtId="0" fontId="24" fillId="0" borderId="33" xfId="0" applyNumberFormat="1" applyFont="1" applyFill="1" applyBorder="1" applyAlignment="1">
      <alignment horizontal="center" vertical="top" wrapText="1"/>
    </xf>
    <xf numFmtId="0" fontId="24" fillId="0" borderId="45" xfId="0" applyFont="1" applyBorder="1" applyAlignment="1">
      <alignment horizontal="center" vertical="top" wrapText="1"/>
    </xf>
    <xf numFmtId="0" fontId="24" fillId="0" borderId="39" xfId="0" applyFont="1" applyBorder="1" applyAlignment="1">
      <alignment horizontal="center" vertical="top"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_Sheet1" xfId="76"/>
    <cellStyle name="Normal_ΕΠΙΠΛΑ ΘΕΣΣΑΛΟΝΙΚΗΣ" xfId="77"/>
    <cellStyle name="Note" xfId="78"/>
    <cellStyle name="Output" xfId="79"/>
    <cellStyle name="Percent" xfId="80"/>
    <cellStyle name="Title" xfId="81"/>
    <cellStyle name="Total" xfId="82"/>
    <cellStyle name="Warning Text" xfId="83"/>
    <cellStyle name="Βασικό_Kονδύλια ενεργητικού" xfId="84"/>
    <cellStyle name="Εισαγωγή" xfId="85"/>
    <cellStyle name="Έλεγχος κελιού" xfId="86"/>
    <cellStyle name="Έμφαση1" xfId="87"/>
    <cellStyle name="Έμφαση2" xfId="88"/>
    <cellStyle name="Έμφαση3" xfId="89"/>
    <cellStyle name="Έμφαση4" xfId="90"/>
    <cellStyle name="Έμφαση5" xfId="91"/>
    <cellStyle name="Έμφαση6" xfId="92"/>
    <cellStyle name="Έξοδος" xfId="93"/>
    <cellStyle name="Επεξηγηματικό κείμενο" xfId="94"/>
    <cellStyle name="Επικεφαλίδα 1" xfId="95"/>
    <cellStyle name="Επικεφαλίδα 2" xfId="96"/>
    <cellStyle name="Επικεφαλίδα 3" xfId="97"/>
    <cellStyle name="Επικεφαλίδα 4" xfId="98"/>
    <cellStyle name="Κακό" xfId="99"/>
    <cellStyle name="Καλό" xfId="100"/>
    <cellStyle name="Κανονικό 2" xfId="101"/>
    <cellStyle name="Κανονικό 2 2" xfId="102"/>
    <cellStyle name="Ουδέτερο" xfId="103"/>
    <cellStyle name="Ποσοστό 2" xfId="104"/>
    <cellStyle name="Προειδοποιητικό κείμενο" xfId="105"/>
    <cellStyle name="Σημείωση" xfId="106"/>
    <cellStyle name="Συνδεδεμένο κελί" xfId="107"/>
    <cellStyle name="Σύνολο" xfId="108"/>
    <cellStyle name="Τίτλος" xfId="109"/>
    <cellStyle name="Υπολογισμός"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24"/>
  <sheetViews>
    <sheetView zoomScale="120" zoomScaleNormal="120" workbookViewId="0" topLeftCell="D391">
      <selection activeCell="H291" sqref="H291"/>
    </sheetView>
  </sheetViews>
  <sheetFormatPr defaultColWidth="9.140625" defaultRowHeight="12.75"/>
  <cols>
    <col min="1" max="1" width="59.57421875" style="2" customWidth="1"/>
    <col min="2" max="2" width="40.140625" style="2" customWidth="1"/>
    <col min="3" max="3" width="33.140625" style="83" customWidth="1"/>
    <col min="4" max="4" width="11.140625" style="2" customWidth="1"/>
    <col min="5" max="5" width="15.57421875" style="84" customWidth="1"/>
    <col min="6" max="6" width="16.421875" style="83" customWidth="1"/>
    <col min="7" max="7" width="15.140625" style="85" customWidth="1"/>
    <col min="8" max="8" width="16.7109375" style="1" customWidth="1"/>
    <col min="9" max="9" width="13.57421875" style="1" customWidth="1"/>
    <col min="10" max="10" width="14.140625" style="1" bestFit="1" customWidth="1"/>
    <col min="11" max="11" width="15.8515625" style="1" customWidth="1"/>
    <col min="12" max="20" width="9.140625" style="1" customWidth="1"/>
    <col min="21" max="16384" width="9.140625" style="2" customWidth="1"/>
  </cols>
  <sheetData>
    <row r="1" spans="1:21" s="1" customFormat="1" ht="30" customHeight="1">
      <c r="A1" s="203" t="s">
        <v>0</v>
      </c>
      <c r="B1" s="204"/>
      <c r="C1" s="204"/>
      <c r="D1" s="204"/>
      <c r="E1" s="204"/>
      <c r="F1" s="204"/>
      <c r="G1" s="204"/>
      <c r="H1" s="204"/>
      <c r="I1" s="204"/>
      <c r="J1" s="204"/>
      <c r="K1" s="205"/>
      <c r="U1" s="2"/>
    </row>
    <row r="2" spans="1:21" s="3" customFormat="1" ht="35.25" customHeight="1">
      <c r="A2" s="197" t="s">
        <v>1</v>
      </c>
      <c r="B2" s="222"/>
      <c r="C2" s="222"/>
      <c r="D2" s="222"/>
      <c r="E2" s="222"/>
      <c r="F2" s="222"/>
      <c r="G2" s="222"/>
      <c r="H2" s="222"/>
      <c r="I2" s="222"/>
      <c r="J2" s="222"/>
      <c r="K2" s="223"/>
      <c r="U2" s="4"/>
    </row>
    <row r="3" spans="1:11" s="10" customFormat="1" ht="110.25" customHeight="1">
      <c r="A3" s="5" t="s">
        <v>2</v>
      </c>
      <c r="B3" s="6" t="s">
        <v>3</v>
      </c>
      <c r="C3" s="6" t="s">
        <v>4</v>
      </c>
      <c r="D3" s="6"/>
      <c r="E3" s="6"/>
      <c r="F3" s="7" t="s">
        <v>5</v>
      </c>
      <c r="G3" s="7" t="s">
        <v>6</v>
      </c>
      <c r="H3" s="6" t="s">
        <v>7</v>
      </c>
      <c r="I3" s="8" t="s">
        <v>8</v>
      </c>
      <c r="J3" s="8" t="s">
        <v>9</v>
      </c>
      <c r="K3" s="9" t="s">
        <v>10</v>
      </c>
    </row>
    <row r="4" spans="1:13" s="1" customFormat="1" ht="25.5" customHeight="1">
      <c r="A4" s="11">
        <v>4</v>
      </c>
      <c r="B4" s="12" t="s">
        <v>11</v>
      </c>
      <c r="C4" s="12" t="s">
        <v>12</v>
      </c>
      <c r="D4" s="12" t="s">
        <v>13</v>
      </c>
      <c r="E4" s="12" t="s">
        <v>14</v>
      </c>
      <c r="F4" s="13">
        <v>14.79</v>
      </c>
      <c r="G4" s="14">
        <f>2</f>
        <v>2</v>
      </c>
      <c r="H4" s="15">
        <f aca="true" t="shared" si="0" ref="H4:H67">G4*F4</f>
        <v>29.58</v>
      </c>
      <c r="I4" s="16">
        <v>1.26</v>
      </c>
      <c r="J4" s="16">
        <f aca="true" t="shared" si="1" ref="J4:J67">G4*I4</f>
        <v>2.52</v>
      </c>
      <c r="K4" s="17" t="s">
        <v>15</v>
      </c>
      <c r="M4" s="18"/>
    </row>
    <row r="5" spans="1:13" ht="12.75">
      <c r="A5" s="11">
        <v>5</v>
      </c>
      <c r="B5" s="12" t="s">
        <v>16</v>
      </c>
      <c r="C5" s="12" t="s">
        <v>12</v>
      </c>
      <c r="D5" s="12" t="s">
        <v>17</v>
      </c>
      <c r="E5" s="12" t="s">
        <v>14</v>
      </c>
      <c r="F5" s="13">
        <v>10.65</v>
      </c>
      <c r="G5" s="14">
        <f>1+7+3</f>
        <v>11</v>
      </c>
      <c r="H5" s="15">
        <f t="shared" si="0"/>
        <v>117.15</v>
      </c>
      <c r="I5" s="16">
        <v>1.064</v>
      </c>
      <c r="J5" s="16">
        <f t="shared" si="1"/>
        <v>11.704</v>
      </c>
      <c r="K5" s="19" t="s">
        <v>18</v>
      </c>
      <c r="M5" s="18"/>
    </row>
    <row r="6" spans="1:13" ht="12.75">
      <c r="A6" s="11">
        <v>8</v>
      </c>
      <c r="B6" s="14" t="s">
        <v>19</v>
      </c>
      <c r="C6" s="12" t="s">
        <v>12</v>
      </c>
      <c r="D6" s="12" t="s">
        <v>20</v>
      </c>
      <c r="E6" s="12" t="s">
        <v>14</v>
      </c>
      <c r="F6" s="20">
        <v>61.6</v>
      </c>
      <c r="G6" s="14">
        <f>1</f>
        <v>1</v>
      </c>
      <c r="H6" s="15">
        <f t="shared" si="0"/>
        <v>61.6</v>
      </c>
      <c r="I6" s="16">
        <v>3.92</v>
      </c>
      <c r="J6" s="16">
        <f t="shared" si="1"/>
        <v>3.92</v>
      </c>
      <c r="K6" s="19" t="s">
        <v>18</v>
      </c>
      <c r="M6" s="18"/>
    </row>
    <row r="7" spans="1:21" s="1" customFormat="1" ht="12.75">
      <c r="A7" s="11">
        <v>9</v>
      </c>
      <c r="B7" s="12" t="s">
        <v>21</v>
      </c>
      <c r="C7" s="12" t="s">
        <v>12</v>
      </c>
      <c r="D7" s="12" t="s">
        <v>20</v>
      </c>
      <c r="E7" s="12" t="s">
        <v>14</v>
      </c>
      <c r="F7" s="20">
        <v>55</v>
      </c>
      <c r="G7" s="14">
        <f>1</f>
        <v>1</v>
      </c>
      <c r="H7" s="15">
        <f t="shared" si="0"/>
        <v>55</v>
      </c>
      <c r="I7" s="16">
        <v>3.36</v>
      </c>
      <c r="J7" s="16">
        <f t="shared" si="1"/>
        <v>3.36</v>
      </c>
      <c r="K7" s="19" t="s">
        <v>18</v>
      </c>
      <c r="M7" s="18"/>
      <c r="U7" s="2"/>
    </row>
    <row r="8" spans="1:21" s="1" customFormat="1" ht="12.75">
      <c r="A8" s="11">
        <v>11</v>
      </c>
      <c r="B8" s="12" t="s">
        <v>22</v>
      </c>
      <c r="C8" s="12" t="s">
        <v>12</v>
      </c>
      <c r="D8" s="12" t="s">
        <v>20</v>
      </c>
      <c r="E8" s="12" t="s">
        <v>14</v>
      </c>
      <c r="F8" s="13">
        <v>44.5</v>
      </c>
      <c r="G8" s="14">
        <f>3-1</f>
        <v>2</v>
      </c>
      <c r="H8" s="15">
        <f t="shared" si="0"/>
        <v>89</v>
      </c>
      <c r="I8" s="16">
        <v>3.92</v>
      </c>
      <c r="J8" s="16">
        <f t="shared" si="1"/>
        <v>7.84</v>
      </c>
      <c r="K8" s="19" t="s">
        <v>18</v>
      </c>
      <c r="M8" s="18"/>
      <c r="U8" s="2"/>
    </row>
    <row r="9" spans="1:21" s="1" customFormat="1" ht="12.75">
      <c r="A9" s="11">
        <v>18</v>
      </c>
      <c r="B9" s="12" t="s">
        <v>23</v>
      </c>
      <c r="C9" s="12" t="s">
        <v>12</v>
      </c>
      <c r="D9" s="12" t="s">
        <v>24</v>
      </c>
      <c r="E9" s="12" t="s">
        <v>14</v>
      </c>
      <c r="F9" s="13">
        <v>21.8</v>
      </c>
      <c r="G9" s="14">
        <f>2</f>
        <v>2</v>
      </c>
      <c r="H9" s="15">
        <f t="shared" si="0"/>
        <v>43.6</v>
      </c>
      <c r="I9" s="16">
        <v>2.1</v>
      </c>
      <c r="J9" s="16">
        <f t="shared" si="1"/>
        <v>4.2</v>
      </c>
      <c r="K9" s="19" t="s">
        <v>18</v>
      </c>
      <c r="M9" s="18"/>
      <c r="U9" s="2"/>
    </row>
    <row r="10" spans="1:21" s="1" customFormat="1" ht="12.75">
      <c r="A10" s="11">
        <v>24</v>
      </c>
      <c r="B10" s="12" t="s">
        <v>25</v>
      </c>
      <c r="C10" s="12" t="s">
        <v>12</v>
      </c>
      <c r="D10" s="12" t="s">
        <v>20</v>
      </c>
      <c r="E10" s="12" t="s">
        <v>14</v>
      </c>
      <c r="F10" s="20">
        <v>98</v>
      </c>
      <c r="G10" s="14">
        <f>2</f>
        <v>2</v>
      </c>
      <c r="H10" s="15">
        <f t="shared" si="0"/>
        <v>196</v>
      </c>
      <c r="I10" s="16">
        <v>5.04</v>
      </c>
      <c r="J10" s="16">
        <f t="shared" si="1"/>
        <v>10.08</v>
      </c>
      <c r="K10" s="19" t="s">
        <v>18</v>
      </c>
      <c r="M10" s="18"/>
      <c r="U10" s="2"/>
    </row>
    <row r="11" spans="1:21" s="1" customFormat="1" ht="12.75">
      <c r="A11" s="11">
        <v>30</v>
      </c>
      <c r="B11" s="12" t="s">
        <v>26</v>
      </c>
      <c r="C11" s="12" t="s">
        <v>12</v>
      </c>
      <c r="D11" s="12" t="s">
        <v>27</v>
      </c>
      <c r="E11" s="12" t="s">
        <v>14</v>
      </c>
      <c r="F11" s="13">
        <v>27.5</v>
      </c>
      <c r="G11" s="14">
        <f>4-1-1-2</f>
        <v>0</v>
      </c>
      <c r="H11" s="15">
        <f t="shared" si="0"/>
        <v>0</v>
      </c>
      <c r="I11" s="16">
        <v>2.66</v>
      </c>
      <c r="J11" s="16">
        <f t="shared" si="1"/>
        <v>0</v>
      </c>
      <c r="K11" s="19" t="s">
        <v>18</v>
      </c>
      <c r="M11" s="18"/>
      <c r="U11" s="2"/>
    </row>
    <row r="12" spans="1:21" s="1" customFormat="1" ht="25.5">
      <c r="A12" s="11">
        <v>34</v>
      </c>
      <c r="B12" s="12" t="s">
        <v>28</v>
      </c>
      <c r="C12" s="12" t="s">
        <v>12</v>
      </c>
      <c r="D12" s="12" t="s">
        <v>27</v>
      </c>
      <c r="E12" s="12" t="s">
        <v>14</v>
      </c>
      <c r="F12" s="13">
        <v>20.95</v>
      </c>
      <c r="G12" s="14">
        <f>1-1</f>
        <v>0</v>
      </c>
      <c r="H12" s="15">
        <f t="shared" si="0"/>
        <v>0</v>
      </c>
      <c r="I12" s="16">
        <v>1.82</v>
      </c>
      <c r="J12" s="16">
        <f t="shared" si="1"/>
        <v>0</v>
      </c>
      <c r="K12" s="19" t="s">
        <v>18</v>
      </c>
      <c r="M12" s="18"/>
      <c r="U12" s="2"/>
    </row>
    <row r="13" spans="1:21" s="1" customFormat="1" ht="25.5">
      <c r="A13" s="11">
        <v>43</v>
      </c>
      <c r="B13" s="12" t="s">
        <v>29</v>
      </c>
      <c r="C13" s="12" t="s">
        <v>12</v>
      </c>
      <c r="D13" s="12" t="s">
        <v>27</v>
      </c>
      <c r="E13" s="12" t="s">
        <v>14</v>
      </c>
      <c r="F13" s="13">
        <v>6.35</v>
      </c>
      <c r="G13" s="14">
        <f>2-1</f>
        <v>1</v>
      </c>
      <c r="H13" s="15">
        <f t="shared" si="0"/>
        <v>6.35</v>
      </c>
      <c r="I13" s="16">
        <v>0.616</v>
      </c>
      <c r="J13" s="16">
        <f t="shared" si="1"/>
        <v>0.616</v>
      </c>
      <c r="K13" s="19" t="s">
        <v>18</v>
      </c>
      <c r="M13" s="18"/>
      <c r="U13" s="2"/>
    </row>
    <row r="14" spans="1:21" s="1" customFormat="1" ht="12.75">
      <c r="A14" s="11">
        <v>45</v>
      </c>
      <c r="B14" s="12" t="s">
        <v>30</v>
      </c>
      <c r="C14" s="12" t="s">
        <v>12</v>
      </c>
      <c r="D14" s="12" t="s">
        <v>20</v>
      </c>
      <c r="E14" s="12" t="s">
        <v>14</v>
      </c>
      <c r="F14" s="20">
        <v>43.5</v>
      </c>
      <c r="G14" s="14">
        <f>1+2</f>
        <v>3</v>
      </c>
      <c r="H14" s="15">
        <f t="shared" si="0"/>
        <v>130.5</v>
      </c>
      <c r="I14" s="16">
        <v>3.64</v>
      </c>
      <c r="J14" s="16">
        <f t="shared" si="1"/>
        <v>10.92</v>
      </c>
      <c r="K14" s="19" t="s">
        <v>18</v>
      </c>
      <c r="M14" s="18"/>
      <c r="U14" s="2"/>
    </row>
    <row r="15" spans="1:21" s="1" customFormat="1" ht="12.75">
      <c r="A15" s="11">
        <v>47</v>
      </c>
      <c r="B15" s="12" t="s">
        <v>31</v>
      </c>
      <c r="C15" s="12" t="s">
        <v>12</v>
      </c>
      <c r="D15" s="12" t="s">
        <v>24</v>
      </c>
      <c r="E15" s="12" t="s">
        <v>14</v>
      </c>
      <c r="F15" s="13">
        <v>54.14</v>
      </c>
      <c r="G15" s="14">
        <f>7-2</f>
        <v>5</v>
      </c>
      <c r="H15" s="15">
        <f t="shared" si="0"/>
        <v>270.7</v>
      </c>
      <c r="I15" s="16">
        <v>4.48</v>
      </c>
      <c r="J15" s="16">
        <f t="shared" si="1"/>
        <v>22.400000000000002</v>
      </c>
      <c r="K15" s="19" t="s">
        <v>18</v>
      </c>
      <c r="M15" s="18"/>
      <c r="U15" s="2"/>
    </row>
    <row r="16" spans="1:21" s="1" customFormat="1" ht="12.75">
      <c r="A16" s="11">
        <v>52</v>
      </c>
      <c r="B16" s="12" t="s">
        <v>32</v>
      </c>
      <c r="C16" s="12" t="s">
        <v>12</v>
      </c>
      <c r="D16" s="12" t="s">
        <v>27</v>
      </c>
      <c r="E16" s="12" t="s">
        <v>14</v>
      </c>
      <c r="F16" s="13">
        <v>10.8</v>
      </c>
      <c r="G16" s="14">
        <f>1</f>
        <v>1</v>
      </c>
      <c r="H16" s="15">
        <f t="shared" si="0"/>
        <v>10.8</v>
      </c>
      <c r="I16" s="16">
        <v>0.98</v>
      </c>
      <c r="J16" s="16">
        <f t="shared" si="1"/>
        <v>0.98</v>
      </c>
      <c r="K16" s="19" t="s">
        <v>18</v>
      </c>
      <c r="M16" s="18"/>
      <c r="U16" s="2"/>
    </row>
    <row r="17" spans="1:21" s="1" customFormat="1" ht="12.75">
      <c r="A17" s="11">
        <v>55</v>
      </c>
      <c r="B17" s="12" t="s">
        <v>33</v>
      </c>
      <c r="C17" s="12" t="s">
        <v>12</v>
      </c>
      <c r="D17" s="12" t="s">
        <v>17</v>
      </c>
      <c r="E17" s="12" t="s">
        <v>14</v>
      </c>
      <c r="F17" s="13">
        <v>17</v>
      </c>
      <c r="G17" s="14">
        <f>2</f>
        <v>2</v>
      </c>
      <c r="H17" s="15">
        <f t="shared" si="0"/>
        <v>34</v>
      </c>
      <c r="I17" s="16">
        <v>1.6239999999999999</v>
      </c>
      <c r="J17" s="16">
        <f t="shared" si="1"/>
        <v>3.2479999999999998</v>
      </c>
      <c r="K17" s="19" t="s">
        <v>18</v>
      </c>
      <c r="M17" s="18"/>
      <c r="U17" s="2"/>
    </row>
    <row r="18" spans="1:21" s="1" customFormat="1" ht="12.75">
      <c r="A18" s="11">
        <v>80</v>
      </c>
      <c r="B18" s="12" t="s">
        <v>34</v>
      </c>
      <c r="C18" s="12" t="s">
        <v>12</v>
      </c>
      <c r="D18" s="12" t="s">
        <v>20</v>
      </c>
      <c r="E18" s="12" t="s">
        <v>14</v>
      </c>
      <c r="F18" s="13">
        <v>58</v>
      </c>
      <c r="G18" s="14">
        <f>2+1</f>
        <v>3</v>
      </c>
      <c r="H18" s="15">
        <f t="shared" si="0"/>
        <v>174</v>
      </c>
      <c r="I18" s="16">
        <v>4.62</v>
      </c>
      <c r="J18" s="16">
        <f t="shared" si="1"/>
        <v>13.86</v>
      </c>
      <c r="K18" s="19" t="s">
        <v>18</v>
      </c>
      <c r="M18" s="18"/>
      <c r="U18" s="2"/>
    </row>
    <row r="19" spans="1:21" s="1" customFormat="1" ht="12.75">
      <c r="A19" s="11">
        <v>83</v>
      </c>
      <c r="B19" s="12" t="s">
        <v>33</v>
      </c>
      <c r="C19" s="12" t="s">
        <v>12</v>
      </c>
      <c r="D19" s="12" t="s">
        <v>17</v>
      </c>
      <c r="E19" s="12" t="s">
        <v>14</v>
      </c>
      <c r="F19" s="20">
        <v>7.8</v>
      </c>
      <c r="G19" s="14">
        <f>2</f>
        <v>2</v>
      </c>
      <c r="H19" s="15">
        <f t="shared" si="0"/>
        <v>15.6</v>
      </c>
      <c r="I19" s="16">
        <v>0.616</v>
      </c>
      <c r="J19" s="16">
        <f t="shared" si="1"/>
        <v>1.232</v>
      </c>
      <c r="K19" s="19" t="s">
        <v>18</v>
      </c>
      <c r="M19" s="18"/>
      <c r="U19" s="2"/>
    </row>
    <row r="20" spans="1:21" s="1" customFormat="1" ht="12.75">
      <c r="A20" s="11">
        <v>87</v>
      </c>
      <c r="B20" s="12" t="s">
        <v>35</v>
      </c>
      <c r="C20" s="12" t="s">
        <v>12</v>
      </c>
      <c r="D20" s="12" t="s">
        <v>36</v>
      </c>
      <c r="E20" s="12" t="s">
        <v>14</v>
      </c>
      <c r="F20" s="13">
        <v>64.89</v>
      </c>
      <c r="G20" s="14">
        <v>2</v>
      </c>
      <c r="H20" s="15">
        <f t="shared" si="0"/>
        <v>129.78</v>
      </c>
      <c r="I20" s="16">
        <v>4.2</v>
      </c>
      <c r="J20" s="16">
        <f t="shared" si="1"/>
        <v>8.4</v>
      </c>
      <c r="K20" s="19" t="s">
        <v>18</v>
      </c>
      <c r="M20" s="18"/>
      <c r="U20" s="2"/>
    </row>
    <row r="21" spans="1:21" s="1" customFormat="1" ht="12.75">
      <c r="A21" s="11">
        <v>88</v>
      </c>
      <c r="B21" s="12" t="s">
        <v>33</v>
      </c>
      <c r="C21" s="12" t="s">
        <v>12</v>
      </c>
      <c r="D21" s="12" t="s">
        <v>17</v>
      </c>
      <c r="E21" s="12" t="s">
        <v>14</v>
      </c>
      <c r="F21" s="13">
        <v>11.3</v>
      </c>
      <c r="G21" s="14">
        <v>1</v>
      </c>
      <c r="H21" s="15">
        <f t="shared" si="0"/>
        <v>11.3</v>
      </c>
      <c r="I21" s="16">
        <v>1.12</v>
      </c>
      <c r="J21" s="16">
        <f t="shared" si="1"/>
        <v>1.12</v>
      </c>
      <c r="K21" s="19" t="s">
        <v>18</v>
      </c>
      <c r="M21" s="18"/>
      <c r="U21" s="2"/>
    </row>
    <row r="22" spans="1:21" s="1" customFormat="1" ht="12.75">
      <c r="A22" s="11">
        <v>93</v>
      </c>
      <c r="B22" s="12" t="s">
        <v>33</v>
      </c>
      <c r="C22" s="12" t="s">
        <v>12</v>
      </c>
      <c r="D22" s="12" t="s">
        <v>17</v>
      </c>
      <c r="E22" s="12" t="s">
        <v>14</v>
      </c>
      <c r="F22" s="13">
        <v>11.29</v>
      </c>
      <c r="G22" s="14">
        <f>5-2</f>
        <v>3</v>
      </c>
      <c r="H22" s="15">
        <f t="shared" si="0"/>
        <v>33.87</v>
      </c>
      <c r="I22" s="16">
        <v>1.12</v>
      </c>
      <c r="J22" s="16">
        <f t="shared" si="1"/>
        <v>3.3600000000000003</v>
      </c>
      <c r="K22" s="19" t="s">
        <v>18</v>
      </c>
      <c r="M22" s="18"/>
      <c r="U22" s="2"/>
    </row>
    <row r="23" spans="1:21" s="1" customFormat="1" ht="12.75">
      <c r="A23" s="11">
        <v>94</v>
      </c>
      <c r="B23" s="12" t="s">
        <v>33</v>
      </c>
      <c r="C23" s="12" t="s">
        <v>12</v>
      </c>
      <c r="D23" s="12" t="s">
        <v>17</v>
      </c>
      <c r="E23" s="12" t="s">
        <v>14</v>
      </c>
      <c r="F23" s="13">
        <v>11.29</v>
      </c>
      <c r="G23" s="14">
        <f>3</f>
        <v>3</v>
      </c>
      <c r="H23" s="15">
        <f t="shared" si="0"/>
        <v>33.87</v>
      </c>
      <c r="I23" s="16">
        <v>1.12</v>
      </c>
      <c r="J23" s="16">
        <f t="shared" si="1"/>
        <v>3.3600000000000003</v>
      </c>
      <c r="K23" s="19" t="s">
        <v>18</v>
      </c>
      <c r="M23" s="18"/>
      <c r="U23" s="2"/>
    </row>
    <row r="24" spans="1:21" s="1" customFormat="1" ht="25.5">
      <c r="A24" s="11">
        <v>97</v>
      </c>
      <c r="B24" s="12" t="s">
        <v>37</v>
      </c>
      <c r="C24" s="12" t="s">
        <v>12</v>
      </c>
      <c r="D24" s="12" t="s">
        <v>17</v>
      </c>
      <c r="E24" s="12" t="s">
        <v>14</v>
      </c>
      <c r="F24" s="13">
        <v>13.59</v>
      </c>
      <c r="G24" s="14">
        <f>1+2</f>
        <v>3</v>
      </c>
      <c r="H24" s="15">
        <f t="shared" si="0"/>
        <v>40.769999999999996</v>
      </c>
      <c r="I24" s="16">
        <v>1.1760000000000002</v>
      </c>
      <c r="J24" s="16">
        <f t="shared" si="1"/>
        <v>3.5280000000000005</v>
      </c>
      <c r="K24" s="19" t="s">
        <v>18</v>
      </c>
      <c r="M24" s="18"/>
      <c r="U24" s="2"/>
    </row>
    <row r="25" spans="1:21" s="1" customFormat="1" ht="12.75">
      <c r="A25" s="11">
        <v>98</v>
      </c>
      <c r="B25" s="14" t="s">
        <v>38</v>
      </c>
      <c r="C25" s="12" t="s">
        <v>12</v>
      </c>
      <c r="D25" s="12" t="s">
        <v>17</v>
      </c>
      <c r="E25" s="12" t="s">
        <v>14</v>
      </c>
      <c r="F25" s="20">
        <v>3.69</v>
      </c>
      <c r="G25" s="14">
        <f>2</f>
        <v>2</v>
      </c>
      <c r="H25" s="15">
        <f t="shared" si="0"/>
        <v>7.38</v>
      </c>
      <c r="I25" s="16">
        <v>0.364</v>
      </c>
      <c r="J25" s="16">
        <f t="shared" si="1"/>
        <v>0.728</v>
      </c>
      <c r="K25" s="19" t="s">
        <v>18</v>
      </c>
      <c r="M25" s="18"/>
      <c r="U25" s="2"/>
    </row>
    <row r="26" spans="1:21" s="1" customFormat="1" ht="12.75">
      <c r="A26" s="11">
        <v>100</v>
      </c>
      <c r="B26" s="12" t="s">
        <v>39</v>
      </c>
      <c r="C26" s="12" t="s">
        <v>12</v>
      </c>
      <c r="D26" s="12" t="s">
        <v>27</v>
      </c>
      <c r="E26" s="12" t="s">
        <v>14</v>
      </c>
      <c r="F26" s="13">
        <v>6.5</v>
      </c>
      <c r="G26" s="14">
        <f>7</f>
        <v>7</v>
      </c>
      <c r="H26" s="15">
        <f t="shared" si="0"/>
        <v>45.5</v>
      </c>
      <c r="I26" s="16">
        <v>0.6439999999999999</v>
      </c>
      <c r="J26" s="16">
        <f t="shared" si="1"/>
        <v>4.507999999999999</v>
      </c>
      <c r="K26" s="19" t="s">
        <v>18</v>
      </c>
      <c r="M26" s="18"/>
      <c r="U26" s="2"/>
    </row>
    <row r="27" spans="1:21" s="1" customFormat="1" ht="12.75">
      <c r="A27" s="11">
        <v>101</v>
      </c>
      <c r="B27" s="12" t="s">
        <v>40</v>
      </c>
      <c r="C27" s="12" t="s">
        <v>12</v>
      </c>
      <c r="D27" s="12" t="s">
        <v>17</v>
      </c>
      <c r="E27" s="12" t="s">
        <v>14</v>
      </c>
      <c r="F27" s="20">
        <v>4</v>
      </c>
      <c r="G27" s="14">
        <f>1</f>
        <v>1</v>
      </c>
      <c r="H27" s="15">
        <f t="shared" si="0"/>
        <v>4</v>
      </c>
      <c r="I27" s="16">
        <v>0.392</v>
      </c>
      <c r="J27" s="16">
        <f t="shared" si="1"/>
        <v>0.392</v>
      </c>
      <c r="K27" s="19" t="s">
        <v>18</v>
      </c>
      <c r="M27" s="18"/>
      <c r="U27" s="2"/>
    </row>
    <row r="28" spans="1:21" s="1" customFormat="1" ht="12.75">
      <c r="A28" s="11">
        <v>102</v>
      </c>
      <c r="B28" s="12" t="s">
        <v>41</v>
      </c>
      <c r="C28" s="12" t="s">
        <v>12</v>
      </c>
      <c r="D28" s="12" t="s">
        <v>17</v>
      </c>
      <c r="E28" s="12" t="s">
        <v>14</v>
      </c>
      <c r="F28" s="13">
        <v>13.09</v>
      </c>
      <c r="G28" s="14">
        <f>2</f>
        <v>2</v>
      </c>
      <c r="H28" s="15">
        <f t="shared" si="0"/>
        <v>26.18</v>
      </c>
      <c r="I28" s="16">
        <v>1.1760000000000002</v>
      </c>
      <c r="J28" s="16">
        <f t="shared" si="1"/>
        <v>2.3520000000000003</v>
      </c>
      <c r="K28" s="19" t="s">
        <v>18</v>
      </c>
      <c r="M28" s="18"/>
      <c r="U28" s="2"/>
    </row>
    <row r="29" spans="1:21" s="1" customFormat="1" ht="12.75">
      <c r="A29" s="11">
        <v>103</v>
      </c>
      <c r="B29" s="12" t="s">
        <v>42</v>
      </c>
      <c r="C29" s="12" t="s">
        <v>12</v>
      </c>
      <c r="D29" s="12" t="s">
        <v>27</v>
      </c>
      <c r="E29" s="12" t="s">
        <v>14</v>
      </c>
      <c r="F29" s="13">
        <v>13.8</v>
      </c>
      <c r="G29" s="14">
        <f>1</f>
        <v>1</v>
      </c>
      <c r="H29" s="15">
        <f t="shared" si="0"/>
        <v>13.8</v>
      </c>
      <c r="I29" s="16">
        <v>1.19</v>
      </c>
      <c r="J29" s="16">
        <f t="shared" si="1"/>
        <v>1.19</v>
      </c>
      <c r="K29" s="19" t="s">
        <v>18</v>
      </c>
      <c r="M29" s="18"/>
      <c r="U29" s="2"/>
    </row>
    <row r="30" spans="1:21" s="1" customFormat="1" ht="12.75">
      <c r="A30" s="11">
        <v>104</v>
      </c>
      <c r="B30" s="12" t="s">
        <v>43</v>
      </c>
      <c r="C30" s="12" t="s">
        <v>12</v>
      </c>
      <c r="D30" s="12" t="s">
        <v>13</v>
      </c>
      <c r="E30" s="12" t="s">
        <v>14</v>
      </c>
      <c r="F30" s="13">
        <v>11.89</v>
      </c>
      <c r="G30" s="14">
        <f>1+3</f>
        <v>4</v>
      </c>
      <c r="H30" s="15">
        <f t="shared" si="0"/>
        <v>47.56</v>
      </c>
      <c r="I30" s="16">
        <v>1.19</v>
      </c>
      <c r="J30" s="16">
        <f t="shared" si="1"/>
        <v>4.76</v>
      </c>
      <c r="K30" s="19" t="s">
        <v>18</v>
      </c>
      <c r="M30" s="18"/>
      <c r="U30" s="2"/>
    </row>
    <row r="31" spans="1:21" s="1" customFormat="1" ht="12.75">
      <c r="A31" s="11">
        <v>111</v>
      </c>
      <c r="B31" s="12" t="s">
        <v>44</v>
      </c>
      <c r="C31" s="12" t="s">
        <v>12</v>
      </c>
      <c r="D31" s="12" t="s">
        <v>17</v>
      </c>
      <c r="E31" s="12" t="s">
        <v>14</v>
      </c>
      <c r="F31" s="13">
        <v>8.4</v>
      </c>
      <c r="G31" s="14">
        <f>88-5-12-12-57</f>
        <v>2</v>
      </c>
      <c r="H31" s="15">
        <f t="shared" si="0"/>
        <v>16.8</v>
      </c>
      <c r="I31" s="16">
        <v>0.7</v>
      </c>
      <c r="J31" s="16">
        <f t="shared" si="1"/>
        <v>1.4</v>
      </c>
      <c r="K31" s="19" t="s">
        <v>18</v>
      </c>
      <c r="M31" s="18"/>
      <c r="U31" s="2"/>
    </row>
    <row r="32" spans="1:21" s="1" customFormat="1" ht="12.75">
      <c r="A32" s="11">
        <v>121</v>
      </c>
      <c r="B32" s="12" t="s">
        <v>45</v>
      </c>
      <c r="C32" s="12" t="s">
        <v>12</v>
      </c>
      <c r="D32" s="12" t="s">
        <v>20</v>
      </c>
      <c r="E32" s="12" t="s">
        <v>14</v>
      </c>
      <c r="F32" s="13">
        <v>47.5</v>
      </c>
      <c r="G32" s="14">
        <v>1</v>
      </c>
      <c r="H32" s="15">
        <f t="shared" si="0"/>
        <v>47.5</v>
      </c>
      <c r="I32" s="16">
        <v>3.78</v>
      </c>
      <c r="J32" s="16">
        <f t="shared" si="1"/>
        <v>3.78</v>
      </c>
      <c r="K32" s="19" t="s">
        <v>18</v>
      </c>
      <c r="M32" s="18"/>
      <c r="U32" s="2"/>
    </row>
    <row r="33" spans="1:21" s="1" customFormat="1" ht="12.75">
      <c r="A33" s="11">
        <v>158</v>
      </c>
      <c r="B33" s="12" t="s">
        <v>46</v>
      </c>
      <c r="C33" s="12" t="s">
        <v>12</v>
      </c>
      <c r="D33" s="12" t="s">
        <v>47</v>
      </c>
      <c r="E33" s="12" t="s">
        <v>14</v>
      </c>
      <c r="F33" s="13">
        <v>126.75</v>
      </c>
      <c r="G33" s="14">
        <f>1</f>
        <v>1</v>
      </c>
      <c r="H33" s="15">
        <f t="shared" si="0"/>
        <v>126.75</v>
      </c>
      <c r="I33" s="16">
        <v>8.96</v>
      </c>
      <c r="J33" s="16">
        <f t="shared" si="1"/>
        <v>8.96</v>
      </c>
      <c r="K33" s="19" t="s">
        <v>18</v>
      </c>
      <c r="M33" s="18"/>
      <c r="U33" s="2"/>
    </row>
    <row r="34" spans="1:21" s="1" customFormat="1" ht="12.75">
      <c r="A34" s="11">
        <v>163</v>
      </c>
      <c r="B34" s="12" t="s">
        <v>48</v>
      </c>
      <c r="C34" s="12" t="s">
        <v>12</v>
      </c>
      <c r="D34" s="12" t="s">
        <v>47</v>
      </c>
      <c r="E34" s="12" t="s">
        <v>14</v>
      </c>
      <c r="F34" s="13">
        <v>182</v>
      </c>
      <c r="G34" s="14">
        <f>1+1-1</f>
        <v>1</v>
      </c>
      <c r="H34" s="15">
        <f t="shared" si="0"/>
        <v>182</v>
      </c>
      <c r="I34" s="16">
        <v>10.64</v>
      </c>
      <c r="J34" s="16">
        <f t="shared" si="1"/>
        <v>10.64</v>
      </c>
      <c r="K34" s="19" t="s">
        <v>18</v>
      </c>
      <c r="M34" s="18"/>
      <c r="U34" s="2"/>
    </row>
    <row r="35" spans="1:21" s="1" customFormat="1" ht="12.75">
      <c r="A35" s="11">
        <v>164</v>
      </c>
      <c r="B35" s="12" t="s">
        <v>49</v>
      </c>
      <c r="C35" s="12" t="s">
        <v>12</v>
      </c>
      <c r="D35" s="12" t="s">
        <v>47</v>
      </c>
      <c r="E35" s="12" t="s">
        <v>14</v>
      </c>
      <c r="F35" s="13">
        <v>162.5</v>
      </c>
      <c r="G35" s="14">
        <f>1</f>
        <v>1</v>
      </c>
      <c r="H35" s="15">
        <f t="shared" si="0"/>
        <v>162.5</v>
      </c>
      <c r="I35" s="16">
        <v>11.76</v>
      </c>
      <c r="J35" s="16">
        <f t="shared" si="1"/>
        <v>11.76</v>
      </c>
      <c r="K35" s="19" t="s">
        <v>18</v>
      </c>
      <c r="M35" s="18"/>
      <c r="U35" s="2"/>
    </row>
    <row r="36" spans="1:21" s="1" customFormat="1" ht="12.75">
      <c r="A36" s="11">
        <v>166</v>
      </c>
      <c r="B36" s="12" t="s">
        <v>50</v>
      </c>
      <c r="C36" s="12" t="s">
        <v>12</v>
      </c>
      <c r="D36" s="12" t="s">
        <v>47</v>
      </c>
      <c r="E36" s="12" t="s">
        <v>14</v>
      </c>
      <c r="F36" s="20">
        <v>162</v>
      </c>
      <c r="G36" s="14">
        <f>1+1</f>
        <v>2</v>
      </c>
      <c r="H36" s="15">
        <f t="shared" si="0"/>
        <v>324</v>
      </c>
      <c r="I36" s="16">
        <v>12.32</v>
      </c>
      <c r="J36" s="16">
        <f t="shared" si="1"/>
        <v>24.64</v>
      </c>
      <c r="K36" s="19" t="s">
        <v>18</v>
      </c>
      <c r="M36" s="18"/>
      <c r="U36" s="2"/>
    </row>
    <row r="37" spans="1:21" s="1" customFormat="1" ht="12.75">
      <c r="A37" s="11">
        <v>180</v>
      </c>
      <c r="B37" s="12" t="s">
        <v>51</v>
      </c>
      <c r="C37" s="12" t="s">
        <v>12</v>
      </c>
      <c r="D37" s="12" t="s">
        <v>52</v>
      </c>
      <c r="E37" s="12" t="s">
        <v>14</v>
      </c>
      <c r="F37" s="13">
        <v>8.8</v>
      </c>
      <c r="G37" s="14">
        <v>1</v>
      </c>
      <c r="H37" s="15">
        <f t="shared" si="0"/>
        <v>8.8</v>
      </c>
      <c r="I37" s="16">
        <v>0.784</v>
      </c>
      <c r="J37" s="16">
        <f t="shared" si="1"/>
        <v>0.784</v>
      </c>
      <c r="K37" s="19" t="s">
        <v>18</v>
      </c>
      <c r="M37" s="18"/>
      <c r="U37" s="2"/>
    </row>
    <row r="38" spans="1:21" s="1" customFormat="1" ht="12.75">
      <c r="A38" s="11">
        <v>182</v>
      </c>
      <c r="B38" s="12" t="s">
        <v>53</v>
      </c>
      <c r="C38" s="12" t="s">
        <v>12</v>
      </c>
      <c r="D38" s="12" t="s">
        <v>52</v>
      </c>
      <c r="E38" s="12" t="s">
        <v>14</v>
      </c>
      <c r="F38" s="13">
        <v>11.6</v>
      </c>
      <c r="G38" s="14">
        <v>2</v>
      </c>
      <c r="H38" s="15">
        <f t="shared" si="0"/>
        <v>23.2</v>
      </c>
      <c r="I38" s="16">
        <v>1.008</v>
      </c>
      <c r="J38" s="16">
        <f t="shared" si="1"/>
        <v>2.016</v>
      </c>
      <c r="K38" s="19" t="s">
        <v>18</v>
      </c>
      <c r="M38" s="18"/>
      <c r="U38" s="2"/>
    </row>
    <row r="39" spans="1:21" s="1" customFormat="1" ht="12.75">
      <c r="A39" s="11">
        <v>184</v>
      </c>
      <c r="B39" s="12" t="s">
        <v>54</v>
      </c>
      <c r="C39" s="12" t="s">
        <v>12</v>
      </c>
      <c r="D39" s="12" t="s">
        <v>52</v>
      </c>
      <c r="E39" s="12" t="s">
        <v>14</v>
      </c>
      <c r="F39" s="13">
        <v>8.8</v>
      </c>
      <c r="G39" s="14">
        <v>2</v>
      </c>
      <c r="H39" s="15">
        <f t="shared" si="0"/>
        <v>17.6</v>
      </c>
      <c r="I39" s="16">
        <v>0.7</v>
      </c>
      <c r="J39" s="16">
        <f t="shared" si="1"/>
        <v>1.4</v>
      </c>
      <c r="K39" s="19" t="s">
        <v>18</v>
      </c>
      <c r="M39" s="18"/>
      <c r="U39" s="2"/>
    </row>
    <row r="40" spans="1:21" s="1" customFormat="1" ht="12.75">
      <c r="A40" s="11">
        <v>185</v>
      </c>
      <c r="B40" s="12" t="s">
        <v>55</v>
      </c>
      <c r="C40" s="12" t="s">
        <v>12</v>
      </c>
      <c r="D40" s="12" t="s">
        <v>52</v>
      </c>
      <c r="E40" s="12" t="s">
        <v>14</v>
      </c>
      <c r="F40" s="13">
        <v>7.9</v>
      </c>
      <c r="G40" s="14">
        <v>1</v>
      </c>
      <c r="H40" s="15">
        <f t="shared" si="0"/>
        <v>7.9</v>
      </c>
      <c r="I40" s="16">
        <v>0.616</v>
      </c>
      <c r="J40" s="16">
        <f t="shared" si="1"/>
        <v>0.616</v>
      </c>
      <c r="K40" s="19" t="s">
        <v>18</v>
      </c>
      <c r="M40" s="18"/>
      <c r="U40" s="2"/>
    </row>
    <row r="41" spans="1:21" s="1" customFormat="1" ht="12.75">
      <c r="A41" s="11">
        <v>187</v>
      </c>
      <c r="B41" s="12" t="s">
        <v>56</v>
      </c>
      <c r="C41" s="12" t="s">
        <v>12</v>
      </c>
      <c r="D41" s="12" t="s">
        <v>52</v>
      </c>
      <c r="E41" s="12" t="s">
        <v>14</v>
      </c>
      <c r="F41" s="13">
        <v>12.3</v>
      </c>
      <c r="G41" s="14">
        <v>1</v>
      </c>
      <c r="H41" s="15">
        <f t="shared" si="0"/>
        <v>12.3</v>
      </c>
      <c r="I41" s="16">
        <v>0.924</v>
      </c>
      <c r="J41" s="16">
        <f t="shared" si="1"/>
        <v>0.924</v>
      </c>
      <c r="K41" s="19" t="s">
        <v>18</v>
      </c>
      <c r="M41" s="18"/>
      <c r="U41" s="2"/>
    </row>
    <row r="42" spans="1:21" s="1" customFormat="1" ht="12.75">
      <c r="A42" s="11">
        <v>188</v>
      </c>
      <c r="B42" s="12" t="s">
        <v>57</v>
      </c>
      <c r="C42" s="12" t="s">
        <v>12</v>
      </c>
      <c r="D42" s="12" t="s">
        <v>52</v>
      </c>
      <c r="E42" s="12" t="s">
        <v>14</v>
      </c>
      <c r="F42" s="13">
        <v>12.3</v>
      </c>
      <c r="G42" s="14">
        <v>1</v>
      </c>
      <c r="H42" s="15">
        <f t="shared" si="0"/>
        <v>12.3</v>
      </c>
      <c r="I42" s="16">
        <v>0.924</v>
      </c>
      <c r="J42" s="16">
        <f t="shared" si="1"/>
        <v>0.924</v>
      </c>
      <c r="K42" s="19" t="s">
        <v>18</v>
      </c>
      <c r="M42" s="18"/>
      <c r="U42" s="2"/>
    </row>
    <row r="43" spans="1:21" s="1" customFormat="1" ht="12.75">
      <c r="A43" s="11">
        <v>189</v>
      </c>
      <c r="B43" s="12" t="s">
        <v>58</v>
      </c>
      <c r="C43" s="12" t="s">
        <v>12</v>
      </c>
      <c r="D43" s="12" t="s">
        <v>52</v>
      </c>
      <c r="E43" s="12" t="s">
        <v>14</v>
      </c>
      <c r="F43" s="13">
        <v>13.05</v>
      </c>
      <c r="G43" s="14">
        <v>2</v>
      </c>
      <c r="H43" s="15">
        <f t="shared" si="0"/>
        <v>26.1</v>
      </c>
      <c r="I43" s="16">
        <v>1.092</v>
      </c>
      <c r="J43" s="16">
        <f t="shared" si="1"/>
        <v>2.184</v>
      </c>
      <c r="K43" s="19" t="s">
        <v>18</v>
      </c>
      <c r="M43" s="18"/>
      <c r="U43" s="2"/>
    </row>
    <row r="44" spans="1:21" s="1" customFormat="1" ht="12.75">
      <c r="A44" s="11">
        <v>192</v>
      </c>
      <c r="B44" s="12" t="s">
        <v>59</v>
      </c>
      <c r="C44" s="12" t="s">
        <v>12</v>
      </c>
      <c r="D44" s="12" t="s">
        <v>52</v>
      </c>
      <c r="E44" s="12" t="s">
        <v>14</v>
      </c>
      <c r="F44" s="13">
        <v>8.45</v>
      </c>
      <c r="G44" s="14">
        <v>2</v>
      </c>
      <c r="H44" s="15">
        <f t="shared" si="0"/>
        <v>16.9</v>
      </c>
      <c r="I44" s="16">
        <v>0.5880000000000001</v>
      </c>
      <c r="J44" s="16">
        <f t="shared" si="1"/>
        <v>1.1760000000000002</v>
      </c>
      <c r="K44" s="19" t="s">
        <v>18</v>
      </c>
      <c r="M44" s="18"/>
      <c r="U44" s="2"/>
    </row>
    <row r="45" spans="1:21" s="1" customFormat="1" ht="12.75">
      <c r="A45" s="11">
        <v>196</v>
      </c>
      <c r="B45" s="12" t="s">
        <v>60</v>
      </c>
      <c r="C45" s="12" t="s">
        <v>12</v>
      </c>
      <c r="D45" s="12" t="s">
        <v>52</v>
      </c>
      <c r="E45" s="12" t="s">
        <v>14</v>
      </c>
      <c r="F45" s="13">
        <v>8.45</v>
      </c>
      <c r="G45" s="14">
        <v>1</v>
      </c>
      <c r="H45" s="15">
        <f t="shared" si="0"/>
        <v>8.45</v>
      </c>
      <c r="I45" s="16">
        <v>0.5880000000000001</v>
      </c>
      <c r="J45" s="16">
        <f t="shared" si="1"/>
        <v>0.5880000000000001</v>
      </c>
      <c r="K45" s="19" t="s">
        <v>18</v>
      </c>
      <c r="M45" s="18"/>
      <c r="U45" s="2"/>
    </row>
    <row r="46" spans="1:21" s="1" customFormat="1" ht="12.75">
      <c r="A46" s="11">
        <v>197</v>
      </c>
      <c r="B46" s="12" t="s">
        <v>61</v>
      </c>
      <c r="C46" s="12" t="s">
        <v>12</v>
      </c>
      <c r="D46" s="12" t="s">
        <v>52</v>
      </c>
      <c r="E46" s="12" t="s">
        <v>14</v>
      </c>
      <c r="F46" s="20">
        <v>7.5</v>
      </c>
      <c r="G46" s="14">
        <v>1</v>
      </c>
      <c r="H46" s="15">
        <f t="shared" si="0"/>
        <v>7.5</v>
      </c>
      <c r="I46" s="16">
        <v>0.532</v>
      </c>
      <c r="J46" s="16">
        <f t="shared" si="1"/>
        <v>0.532</v>
      </c>
      <c r="K46" s="19" t="s">
        <v>18</v>
      </c>
      <c r="M46" s="18"/>
      <c r="U46" s="2"/>
    </row>
    <row r="47" spans="1:21" s="1" customFormat="1" ht="12.75">
      <c r="A47" s="11">
        <v>198</v>
      </c>
      <c r="B47" s="12" t="s">
        <v>62</v>
      </c>
      <c r="C47" s="12" t="s">
        <v>12</v>
      </c>
      <c r="D47" s="12" t="s">
        <v>52</v>
      </c>
      <c r="E47" s="12" t="s">
        <v>14</v>
      </c>
      <c r="F47" s="20">
        <v>7</v>
      </c>
      <c r="G47" s="14">
        <v>3</v>
      </c>
      <c r="H47" s="15">
        <f t="shared" si="0"/>
        <v>21</v>
      </c>
      <c r="I47" s="16">
        <v>0.616</v>
      </c>
      <c r="J47" s="16">
        <f t="shared" si="1"/>
        <v>1.8479999999999999</v>
      </c>
      <c r="K47" s="19" t="s">
        <v>18</v>
      </c>
      <c r="M47" s="18"/>
      <c r="U47" s="2"/>
    </row>
    <row r="48" spans="1:21" s="1" customFormat="1" ht="12.75">
      <c r="A48" s="11">
        <v>199</v>
      </c>
      <c r="B48" s="12" t="s">
        <v>63</v>
      </c>
      <c r="C48" s="12" t="s">
        <v>12</v>
      </c>
      <c r="D48" s="12" t="s">
        <v>52</v>
      </c>
      <c r="E48" s="12" t="s">
        <v>14</v>
      </c>
      <c r="F48" s="13">
        <v>13.8</v>
      </c>
      <c r="G48" s="14">
        <v>3</v>
      </c>
      <c r="H48" s="15">
        <f t="shared" si="0"/>
        <v>41.400000000000006</v>
      </c>
      <c r="I48" s="16">
        <v>1.1480000000000001</v>
      </c>
      <c r="J48" s="16">
        <f t="shared" si="1"/>
        <v>3.4440000000000004</v>
      </c>
      <c r="K48" s="19" t="s">
        <v>18</v>
      </c>
      <c r="M48" s="18"/>
      <c r="U48" s="2"/>
    </row>
    <row r="49" spans="1:21" s="1" customFormat="1" ht="12.75">
      <c r="A49" s="11">
        <v>200</v>
      </c>
      <c r="B49" s="12" t="s">
        <v>64</v>
      </c>
      <c r="C49" s="12" t="s">
        <v>12</v>
      </c>
      <c r="D49" s="12" t="s">
        <v>52</v>
      </c>
      <c r="E49" s="12" t="s">
        <v>14</v>
      </c>
      <c r="F49" s="13">
        <v>12.52</v>
      </c>
      <c r="G49" s="14">
        <v>1</v>
      </c>
      <c r="H49" s="15">
        <f t="shared" si="0"/>
        <v>12.52</v>
      </c>
      <c r="I49" s="16">
        <v>1.1760000000000002</v>
      </c>
      <c r="J49" s="16">
        <f t="shared" si="1"/>
        <v>1.1760000000000002</v>
      </c>
      <c r="K49" s="19" t="s">
        <v>18</v>
      </c>
      <c r="M49" s="18"/>
      <c r="U49" s="2"/>
    </row>
    <row r="50" spans="1:21" s="1" customFormat="1" ht="12.75">
      <c r="A50" s="11">
        <v>201</v>
      </c>
      <c r="B50" s="12" t="s">
        <v>65</v>
      </c>
      <c r="C50" s="12" t="s">
        <v>12</v>
      </c>
      <c r="D50" s="12" t="s">
        <v>52</v>
      </c>
      <c r="E50" s="12" t="s">
        <v>14</v>
      </c>
      <c r="F50" s="20">
        <v>11.2</v>
      </c>
      <c r="G50" s="14">
        <v>2</v>
      </c>
      <c r="H50" s="15">
        <f t="shared" si="0"/>
        <v>22.4</v>
      </c>
      <c r="I50" s="16">
        <v>0.868</v>
      </c>
      <c r="J50" s="16">
        <f t="shared" si="1"/>
        <v>1.736</v>
      </c>
      <c r="K50" s="19" t="s">
        <v>18</v>
      </c>
      <c r="M50" s="18"/>
      <c r="U50" s="2"/>
    </row>
    <row r="51" spans="1:21" s="1" customFormat="1" ht="12.75">
      <c r="A51" s="11">
        <v>203</v>
      </c>
      <c r="B51" s="12" t="s">
        <v>66</v>
      </c>
      <c r="C51" s="12" t="s">
        <v>12</v>
      </c>
      <c r="D51" s="12" t="s">
        <v>52</v>
      </c>
      <c r="E51" s="12" t="s">
        <v>14</v>
      </c>
      <c r="F51" s="13">
        <v>13.05</v>
      </c>
      <c r="G51" s="14">
        <v>1</v>
      </c>
      <c r="H51" s="15">
        <f t="shared" si="0"/>
        <v>13.05</v>
      </c>
      <c r="I51" s="16">
        <v>1.1480000000000001</v>
      </c>
      <c r="J51" s="16">
        <f t="shared" si="1"/>
        <v>1.1480000000000001</v>
      </c>
      <c r="K51" s="19" t="s">
        <v>18</v>
      </c>
      <c r="M51" s="18"/>
      <c r="U51" s="2"/>
    </row>
    <row r="52" spans="1:21" s="1" customFormat="1" ht="12.75">
      <c r="A52" s="11">
        <v>204</v>
      </c>
      <c r="B52" s="12" t="s">
        <v>67</v>
      </c>
      <c r="C52" s="12" t="s">
        <v>12</v>
      </c>
      <c r="D52" s="12" t="s">
        <v>52</v>
      </c>
      <c r="E52" s="12" t="s">
        <v>14</v>
      </c>
      <c r="F52" s="13">
        <v>13.05</v>
      </c>
      <c r="G52" s="14">
        <v>2</v>
      </c>
      <c r="H52" s="15">
        <f t="shared" si="0"/>
        <v>26.1</v>
      </c>
      <c r="I52" s="16">
        <v>1.1480000000000001</v>
      </c>
      <c r="J52" s="16">
        <f t="shared" si="1"/>
        <v>2.2960000000000003</v>
      </c>
      <c r="K52" s="19" t="s">
        <v>18</v>
      </c>
      <c r="M52" s="18"/>
      <c r="U52" s="2"/>
    </row>
    <row r="53" spans="1:21" s="1" customFormat="1" ht="12.75">
      <c r="A53" s="11">
        <v>211</v>
      </c>
      <c r="B53" s="12" t="s">
        <v>68</v>
      </c>
      <c r="C53" s="12" t="s">
        <v>12</v>
      </c>
      <c r="D53" s="12" t="s">
        <v>17</v>
      </c>
      <c r="E53" s="12" t="s">
        <v>14</v>
      </c>
      <c r="F53" s="13">
        <v>37.7</v>
      </c>
      <c r="G53" s="14">
        <v>1</v>
      </c>
      <c r="H53" s="15">
        <f t="shared" si="0"/>
        <v>37.7</v>
      </c>
      <c r="I53" s="16">
        <v>3.696</v>
      </c>
      <c r="J53" s="16">
        <f t="shared" si="1"/>
        <v>3.696</v>
      </c>
      <c r="K53" s="19" t="s">
        <v>18</v>
      </c>
      <c r="M53" s="18"/>
      <c r="U53" s="2"/>
    </row>
    <row r="54" spans="1:21" s="1" customFormat="1" ht="12.75">
      <c r="A54" s="11">
        <v>220</v>
      </c>
      <c r="B54" s="12" t="s">
        <v>69</v>
      </c>
      <c r="C54" s="12" t="s">
        <v>12</v>
      </c>
      <c r="D54" s="12" t="s">
        <v>47</v>
      </c>
      <c r="E54" s="12" t="s">
        <v>14</v>
      </c>
      <c r="F54" s="20">
        <v>90</v>
      </c>
      <c r="G54" s="14">
        <f>1</f>
        <v>1</v>
      </c>
      <c r="H54" s="15">
        <f t="shared" si="0"/>
        <v>90</v>
      </c>
      <c r="I54" s="16">
        <v>6.72</v>
      </c>
      <c r="J54" s="16">
        <f t="shared" si="1"/>
        <v>6.72</v>
      </c>
      <c r="K54" s="19" t="s">
        <v>18</v>
      </c>
      <c r="M54" s="18"/>
      <c r="U54" s="2"/>
    </row>
    <row r="55" spans="1:21" s="1" customFormat="1" ht="12.75">
      <c r="A55" s="11">
        <v>221</v>
      </c>
      <c r="B55" s="12" t="s">
        <v>70</v>
      </c>
      <c r="C55" s="12" t="s">
        <v>12</v>
      </c>
      <c r="D55" s="12" t="s">
        <v>47</v>
      </c>
      <c r="E55" s="12" t="s">
        <v>14</v>
      </c>
      <c r="F55" s="20">
        <v>182</v>
      </c>
      <c r="G55" s="14">
        <f>1</f>
        <v>1</v>
      </c>
      <c r="H55" s="15">
        <f t="shared" si="0"/>
        <v>182</v>
      </c>
      <c r="I55" s="16">
        <v>12.6</v>
      </c>
      <c r="J55" s="16">
        <f t="shared" si="1"/>
        <v>12.6</v>
      </c>
      <c r="K55" s="19" t="s">
        <v>18</v>
      </c>
      <c r="M55" s="18"/>
      <c r="U55" s="2"/>
    </row>
    <row r="56" spans="1:21" s="1" customFormat="1" ht="12.75">
      <c r="A56" s="11">
        <v>299</v>
      </c>
      <c r="B56" s="12" t="s">
        <v>71</v>
      </c>
      <c r="C56" s="12" t="s">
        <v>12</v>
      </c>
      <c r="D56" s="12" t="s">
        <v>20</v>
      </c>
      <c r="E56" s="12" t="s">
        <v>14</v>
      </c>
      <c r="F56" s="13">
        <v>42</v>
      </c>
      <c r="G56" s="14">
        <v>1</v>
      </c>
      <c r="H56" s="15">
        <f t="shared" si="0"/>
        <v>42</v>
      </c>
      <c r="I56" s="16">
        <v>3.36</v>
      </c>
      <c r="J56" s="16">
        <f t="shared" si="1"/>
        <v>3.36</v>
      </c>
      <c r="K56" s="19" t="s">
        <v>18</v>
      </c>
      <c r="M56" s="18"/>
      <c r="U56" s="2"/>
    </row>
    <row r="57" spans="1:21" s="1" customFormat="1" ht="12.75">
      <c r="A57" s="11">
        <v>307</v>
      </c>
      <c r="B57" s="12" t="s">
        <v>72</v>
      </c>
      <c r="C57" s="12" t="s">
        <v>12</v>
      </c>
      <c r="D57" s="12" t="s">
        <v>13</v>
      </c>
      <c r="E57" s="12" t="s">
        <v>14</v>
      </c>
      <c r="F57" s="13">
        <v>15</v>
      </c>
      <c r="G57" s="14">
        <v>2</v>
      </c>
      <c r="H57" s="15">
        <f t="shared" si="0"/>
        <v>30</v>
      </c>
      <c r="I57" s="16">
        <v>1.428</v>
      </c>
      <c r="J57" s="16">
        <f t="shared" si="1"/>
        <v>2.856</v>
      </c>
      <c r="K57" s="19"/>
      <c r="M57" s="18"/>
      <c r="U57" s="2"/>
    </row>
    <row r="58" spans="1:21" s="1" customFormat="1" ht="25.5">
      <c r="A58" s="11">
        <v>315</v>
      </c>
      <c r="B58" s="12" t="s">
        <v>73</v>
      </c>
      <c r="C58" s="12" t="s">
        <v>74</v>
      </c>
      <c r="D58" s="12" t="s">
        <v>14</v>
      </c>
      <c r="E58" s="12" t="s">
        <v>75</v>
      </c>
      <c r="F58" s="20">
        <v>25</v>
      </c>
      <c r="G58" s="14">
        <v>1</v>
      </c>
      <c r="H58" s="15">
        <f t="shared" si="0"/>
        <v>25</v>
      </c>
      <c r="I58" s="16">
        <v>2.268</v>
      </c>
      <c r="J58" s="16">
        <f t="shared" si="1"/>
        <v>2.268</v>
      </c>
      <c r="K58" s="19" t="s">
        <v>18</v>
      </c>
      <c r="M58" s="18"/>
      <c r="U58" s="2"/>
    </row>
    <row r="59" spans="1:21" s="1" customFormat="1" ht="12.75">
      <c r="A59" s="11">
        <v>331</v>
      </c>
      <c r="B59" s="12" t="s">
        <v>76</v>
      </c>
      <c r="C59" s="12" t="s">
        <v>74</v>
      </c>
      <c r="D59" s="12" t="s">
        <v>14</v>
      </c>
      <c r="E59" s="12" t="s">
        <v>77</v>
      </c>
      <c r="F59" s="20">
        <v>50</v>
      </c>
      <c r="G59" s="14">
        <v>1</v>
      </c>
      <c r="H59" s="15">
        <f t="shared" si="0"/>
        <v>50</v>
      </c>
      <c r="I59" s="16">
        <v>4.788000000000001</v>
      </c>
      <c r="J59" s="16">
        <f t="shared" si="1"/>
        <v>4.788000000000001</v>
      </c>
      <c r="K59" s="19" t="s">
        <v>18</v>
      </c>
      <c r="M59" s="18"/>
      <c r="U59" s="2"/>
    </row>
    <row r="60" spans="1:21" s="1" customFormat="1" ht="12.75">
      <c r="A60" s="11">
        <v>340</v>
      </c>
      <c r="B60" s="12" t="s">
        <v>78</v>
      </c>
      <c r="C60" s="12" t="s">
        <v>74</v>
      </c>
      <c r="D60" s="12" t="s">
        <v>14</v>
      </c>
      <c r="E60" s="12" t="s">
        <v>75</v>
      </c>
      <c r="F60" s="20">
        <v>35</v>
      </c>
      <c r="G60" s="14">
        <v>13</v>
      </c>
      <c r="H60" s="15">
        <f t="shared" si="0"/>
        <v>455</v>
      </c>
      <c r="I60" s="16">
        <v>3.08</v>
      </c>
      <c r="J60" s="16">
        <f t="shared" si="1"/>
        <v>40.04</v>
      </c>
      <c r="K60" s="19" t="s">
        <v>18</v>
      </c>
      <c r="M60" s="18"/>
      <c r="U60" s="2"/>
    </row>
    <row r="61" spans="1:21" s="1" customFormat="1" ht="25.5">
      <c r="A61" s="11">
        <v>348</v>
      </c>
      <c r="B61" s="12" t="s">
        <v>79</v>
      </c>
      <c r="C61" s="12" t="s">
        <v>74</v>
      </c>
      <c r="D61" s="12" t="s">
        <v>14</v>
      </c>
      <c r="E61" s="12" t="s">
        <v>80</v>
      </c>
      <c r="F61" s="13">
        <v>18.5</v>
      </c>
      <c r="G61" s="14">
        <v>1</v>
      </c>
      <c r="H61" s="15">
        <f t="shared" si="0"/>
        <v>18.5</v>
      </c>
      <c r="I61" s="16">
        <v>1.736</v>
      </c>
      <c r="J61" s="16">
        <f t="shared" si="1"/>
        <v>1.736</v>
      </c>
      <c r="K61" s="19" t="s">
        <v>18</v>
      </c>
      <c r="M61" s="18"/>
      <c r="U61" s="2"/>
    </row>
    <row r="62" spans="1:21" s="1" customFormat="1" ht="12.75">
      <c r="A62" s="11">
        <v>411</v>
      </c>
      <c r="B62" s="12" t="s">
        <v>81</v>
      </c>
      <c r="C62" s="12" t="s">
        <v>74</v>
      </c>
      <c r="D62" s="12" t="s">
        <v>14</v>
      </c>
      <c r="E62" s="12" t="s">
        <v>82</v>
      </c>
      <c r="F62" s="20">
        <v>120</v>
      </c>
      <c r="G62" s="14">
        <v>1</v>
      </c>
      <c r="H62" s="15">
        <f t="shared" si="0"/>
        <v>120</v>
      </c>
      <c r="I62" s="16">
        <v>9.66</v>
      </c>
      <c r="J62" s="16">
        <f t="shared" si="1"/>
        <v>9.66</v>
      </c>
      <c r="K62" s="19" t="s">
        <v>18</v>
      </c>
      <c r="M62" s="18"/>
      <c r="U62" s="2"/>
    </row>
    <row r="63" spans="1:21" s="1" customFormat="1" ht="12.75">
      <c r="A63" s="11">
        <v>454</v>
      </c>
      <c r="B63" s="12" t="s">
        <v>83</v>
      </c>
      <c r="C63" s="12" t="s">
        <v>12</v>
      </c>
      <c r="D63" s="12" t="s">
        <v>20</v>
      </c>
      <c r="E63" s="12" t="s">
        <v>14</v>
      </c>
      <c r="F63" s="20">
        <v>54</v>
      </c>
      <c r="G63" s="14">
        <v>1</v>
      </c>
      <c r="H63" s="15">
        <f t="shared" si="0"/>
        <v>54</v>
      </c>
      <c r="I63" s="16">
        <v>4.9</v>
      </c>
      <c r="J63" s="16">
        <f t="shared" si="1"/>
        <v>4.9</v>
      </c>
      <c r="K63" s="19" t="s">
        <v>18</v>
      </c>
      <c r="M63" s="18"/>
      <c r="U63" s="2"/>
    </row>
    <row r="64" spans="1:21" s="1" customFormat="1" ht="12.75">
      <c r="A64" s="11">
        <v>455</v>
      </c>
      <c r="B64" s="12" t="s">
        <v>84</v>
      </c>
      <c r="C64" s="12" t="s">
        <v>12</v>
      </c>
      <c r="D64" s="12" t="s">
        <v>20</v>
      </c>
      <c r="E64" s="12" t="s">
        <v>14</v>
      </c>
      <c r="F64" s="20">
        <v>57</v>
      </c>
      <c r="G64" s="14">
        <f>1+1+1+1</f>
        <v>4</v>
      </c>
      <c r="H64" s="15">
        <f t="shared" si="0"/>
        <v>228</v>
      </c>
      <c r="I64" s="16">
        <v>3.36</v>
      </c>
      <c r="J64" s="16">
        <f t="shared" si="1"/>
        <v>13.44</v>
      </c>
      <c r="K64" s="19" t="s">
        <v>18</v>
      </c>
      <c r="M64" s="18"/>
      <c r="U64" s="2"/>
    </row>
    <row r="65" spans="1:21" s="1" customFormat="1" ht="12.75">
      <c r="A65" s="11">
        <v>460</v>
      </c>
      <c r="B65" s="12" t="s">
        <v>85</v>
      </c>
      <c r="C65" s="12" t="s">
        <v>12</v>
      </c>
      <c r="D65" s="12" t="s">
        <v>13</v>
      </c>
      <c r="E65" s="12" t="s">
        <v>14</v>
      </c>
      <c r="F65" s="20">
        <v>37</v>
      </c>
      <c r="G65" s="14">
        <f>1</f>
        <v>1</v>
      </c>
      <c r="H65" s="15">
        <f t="shared" si="0"/>
        <v>37</v>
      </c>
      <c r="I65" s="16">
        <v>3.5</v>
      </c>
      <c r="J65" s="16">
        <f t="shared" si="1"/>
        <v>3.5</v>
      </c>
      <c r="K65" s="19" t="s">
        <v>18</v>
      </c>
      <c r="M65" s="18"/>
      <c r="U65" s="2"/>
    </row>
    <row r="66" spans="1:21" s="1" customFormat="1" ht="12.75">
      <c r="A66" s="11">
        <v>492</v>
      </c>
      <c r="B66" s="12" t="s">
        <v>72</v>
      </c>
      <c r="C66" s="12" t="s">
        <v>12</v>
      </c>
      <c r="D66" s="12" t="s">
        <v>13</v>
      </c>
      <c r="E66" s="12" t="s">
        <v>14</v>
      </c>
      <c r="F66" s="13">
        <v>15</v>
      </c>
      <c r="G66" s="14">
        <f>3</f>
        <v>3</v>
      </c>
      <c r="H66" s="15">
        <f t="shared" si="0"/>
        <v>45</v>
      </c>
      <c r="I66" s="16">
        <v>1.26</v>
      </c>
      <c r="J66" s="16">
        <f t="shared" si="1"/>
        <v>3.7800000000000002</v>
      </c>
      <c r="K66" s="19" t="s">
        <v>18</v>
      </c>
      <c r="M66" s="18"/>
      <c r="U66" s="2"/>
    </row>
    <row r="67" spans="1:21" s="1" customFormat="1" ht="12.75">
      <c r="A67" s="11">
        <v>517</v>
      </c>
      <c r="B67" s="12" t="s">
        <v>86</v>
      </c>
      <c r="C67" s="12" t="s">
        <v>12</v>
      </c>
      <c r="D67" s="12" t="s">
        <v>52</v>
      </c>
      <c r="E67" s="12" t="s">
        <v>14</v>
      </c>
      <c r="F67" s="13">
        <v>7</v>
      </c>
      <c r="G67" s="14">
        <v>2</v>
      </c>
      <c r="H67" s="15">
        <f t="shared" si="0"/>
        <v>14</v>
      </c>
      <c r="I67" s="16">
        <v>0.504</v>
      </c>
      <c r="J67" s="16">
        <f t="shared" si="1"/>
        <v>1.008</v>
      </c>
      <c r="K67" s="19" t="s">
        <v>18</v>
      </c>
      <c r="M67" s="18"/>
      <c r="U67" s="2"/>
    </row>
    <row r="68" spans="1:21" s="1" customFormat="1" ht="12.75">
      <c r="A68" s="11">
        <v>519</v>
      </c>
      <c r="B68" s="12" t="s">
        <v>87</v>
      </c>
      <c r="C68" s="12" t="s">
        <v>12</v>
      </c>
      <c r="D68" s="12" t="s">
        <v>52</v>
      </c>
      <c r="E68" s="12" t="s">
        <v>14</v>
      </c>
      <c r="F68" s="20">
        <v>8.45</v>
      </c>
      <c r="G68" s="14">
        <v>2</v>
      </c>
      <c r="H68" s="15">
        <f aca="true" t="shared" si="2" ref="H68:H131">G68*F68</f>
        <v>16.9</v>
      </c>
      <c r="I68" s="16">
        <v>0.5880000000000001</v>
      </c>
      <c r="J68" s="16">
        <f aca="true" t="shared" si="3" ref="J68:J131">G68*I68</f>
        <v>1.1760000000000002</v>
      </c>
      <c r="K68" s="19" t="s">
        <v>18</v>
      </c>
      <c r="M68" s="18"/>
      <c r="U68" s="2"/>
    </row>
    <row r="69" spans="1:21" s="1" customFormat="1" ht="12.75">
      <c r="A69" s="11">
        <v>520</v>
      </c>
      <c r="B69" s="12" t="s">
        <v>88</v>
      </c>
      <c r="C69" s="12" t="s">
        <v>12</v>
      </c>
      <c r="D69" s="12" t="s">
        <v>52</v>
      </c>
      <c r="E69" s="12" t="s">
        <v>14</v>
      </c>
      <c r="F69" s="13">
        <v>9</v>
      </c>
      <c r="G69" s="14">
        <v>1</v>
      </c>
      <c r="H69" s="15">
        <f t="shared" si="2"/>
        <v>9</v>
      </c>
      <c r="I69" s="16">
        <v>0.6719999999999999</v>
      </c>
      <c r="J69" s="16">
        <f t="shared" si="3"/>
        <v>0.6719999999999999</v>
      </c>
      <c r="K69" s="19" t="s">
        <v>18</v>
      </c>
      <c r="M69" s="18"/>
      <c r="U69" s="2"/>
    </row>
    <row r="70" spans="1:21" s="1" customFormat="1" ht="25.5">
      <c r="A70" s="11">
        <v>521</v>
      </c>
      <c r="B70" s="12" t="s">
        <v>89</v>
      </c>
      <c r="C70" s="12" t="s">
        <v>12</v>
      </c>
      <c r="D70" s="12" t="s">
        <v>52</v>
      </c>
      <c r="E70" s="12" t="s">
        <v>14</v>
      </c>
      <c r="F70" s="20">
        <v>13.05</v>
      </c>
      <c r="G70" s="14">
        <v>1</v>
      </c>
      <c r="H70" s="15">
        <f t="shared" si="2"/>
        <v>13.05</v>
      </c>
      <c r="I70" s="16">
        <v>1.008</v>
      </c>
      <c r="J70" s="16">
        <f t="shared" si="3"/>
        <v>1.008</v>
      </c>
      <c r="K70" s="19" t="s">
        <v>18</v>
      </c>
      <c r="M70" s="18"/>
      <c r="U70" s="2"/>
    </row>
    <row r="71" spans="1:21" s="1" customFormat="1" ht="12.75">
      <c r="A71" s="11">
        <v>522</v>
      </c>
      <c r="B71" s="12" t="s">
        <v>90</v>
      </c>
      <c r="C71" s="12" t="s">
        <v>12</v>
      </c>
      <c r="D71" s="12" t="s">
        <v>52</v>
      </c>
      <c r="E71" s="12" t="s">
        <v>14</v>
      </c>
      <c r="F71" s="13">
        <v>8.2</v>
      </c>
      <c r="G71" s="14">
        <v>1</v>
      </c>
      <c r="H71" s="15">
        <f t="shared" si="2"/>
        <v>8.2</v>
      </c>
      <c r="I71" s="16">
        <v>0.5880000000000001</v>
      </c>
      <c r="J71" s="16">
        <f t="shared" si="3"/>
        <v>0.5880000000000001</v>
      </c>
      <c r="K71" s="19" t="s">
        <v>18</v>
      </c>
      <c r="M71" s="18"/>
      <c r="U71" s="2"/>
    </row>
    <row r="72" spans="1:21" s="1" customFormat="1" ht="25.5">
      <c r="A72" s="11">
        <v>523</v>
      </c>
      <c r="B72" s="12" t="s">
        <v>91</v>
      </c>
      <c r="C72" s="12" t="s">
        <v>12</v>
      </c>
      <c r="D72" s="12" t="s">
        <v>52</v>
      </c>
      <c r="E72" s="12" t="s">
        <v>14</v>
      </c>
      <c r="F72" s="13">
        <v>11.6</v>
      </c>
      <c r="G72" s="14">
        <v>2</v>
      </c>
      <c r="H72" s="15">
        <f t="shared" si="2"/>
        <v>23.2</v>
      </c>
      <c r="I72" s="16">
        <v>1.064</v>
      </c>
      <c r="J72" s="16">
        <f t="shared" si="3"/>
        <v>2.128</v>
      </c>
      <c r="K72" s="19" t="s">
        <v>18</v>
      </c>
      <c r="M72" s="18"/>
      <c r="U72" s="2"/>
    </row>
    <row r="73" spans="1:21" s="1" customFormat="1" ht="12.75">
      <c r="A73" s="11">
        <v>524</v>
      </c>
      <c r="B73" s="12" t="s">
        <v>92</v>
      </c>
      <c r="C73" s="12" t="s">
        <v>12</v>
      </c>
      <c r="D73" s="12" t="s">
        <v>52</v>
      </c>
      <c r="E73" s="12" t="s">
        <v>14</v>
      </c>
      <c r="F73" s="20">
        <v>8.5</v>
      </c>
      <c r="G73" s="14">
        <v>3</v>
      </c>
      <c r="H73" s="15">
        <f t="shared" si="2"/>
        <v>25.5</v>
      </c>
      <c r="I73" s="16">
        <v>0.6719999999999999</v>
      </c>
      <c r="J73" s="16">
        <f t="shared" si="3"/>
        <v>2.016</v>
      </c>
      <c r="K73" s="19" t="s">
        <v>18</v>
      </c>
      <c r="M73" s="18"/>
      <c r="U73" s="2"/>
    </row>
    <row r="74" spans="1:21" s="1" customFormat="1" ht="12.75">
      <c r="A74" s="11">
        <v>525</v>
      </c>
      <c r="B74" s="12" t="s">
        <v>93</v>
      </c>
      <c r="C74" s="12" t="s">
        <v>12</v>
      </c>
      <c r="D74" s="12" t="s">
        <v>52</v>
      </c>
      <c r="E74" s="12" t="s">
        <v>14</v>
      </c>
      <c r="F74" s="20">
        <v>6.6</v>
      </c>
      <c r="G74" s="14">
        <v>2</v>
      </c>
      <c r="H74" s="15">
        <f t="shared" si="2"/>
        <v>13.2</v>
      </c>
      <c r="I74" s="16">
        <v>0.532</v>
      </c>
      <c r="J74" s="16">
        <f t="shared" si="3"/>
        <v>1.064</v>
      </c>
      <c r="K74" s="19" t="s">
        <v>18</v>
      </c>
      <c r="M74" s="18"/>
      <c r="U74" s="2"/>
    </row>
    <row r="75" spans="1:21" s="1" customFormat="1" ht="12.75">
      <c r="A75" s="11">
        <v>526</v>
      </c>
      <c r="B75" s="12" t="s">
        <v>94</v>
      </c>
      <c r="C75" s="12" t="s">
        <v>12</v>
      </c>
      <c r="D75" s="12" t="s">
        <v>52</v>
      </c>
      <c r="E75" s="12" t="s">
        <v>14</v>
      </c>
      <c r="F75" s="13">
        <v>14.1</v>
      </c>
      <c r="G75" s="14">
        <v>1</v>
      </c>
      <c r="H75" s="15">
        <f t="shared" si="2"/>
        <v>14.1</v>
      </c>
      <c r="I75" s="16">
        <v>1.1480000000000001</v>
      </c>
      <c r="J75" s="16">
        <f t="shared" si="3"/>
        <v>1.1480000000000001</v>
      </c>
      <c r="K75" s="19" t="s">
        <v>18</v>
      </c>
      <c r="M75" s="18"/>
      <c r="U75" s="2"/>
    </row>
    <row r="76" spans="1:21" s="1" customFormat="1" ht="12.75">
      <c r="A76" s="11">
        <v>527</v>
      </c>
      <c r="B76" s="12" t="s">
        <v>95</v>
      </c>
      <c r="C76" s="12" t="s">
        <v>12</v>
      </c>
      <c r="D76" s="12" t="s">
        <v>52</v>
      </c>
      <c r="E76" s="12" t="s">
        <v>14</v>
      </c>
      <c r="F76" s="20">
        <v>7.4</v>
      </c>
      <c r="G76" s="14">
        <v>2</v>
      </c>
      <c r="H76" s="15">
        <f t="shared" si="2"/>
        <v>14.8</v>
      </c>
      <c r="I76" s="16">
        <v>0.5880000000000001</v>
      </c>
      <c r="J76" s="16">
        <f t="shared" si="3"/>
        <v>1.1760000000000002</v>
      </c>
      <c r="K76" s="19" t="s">
        <v>18</v>
      </c>
      <c r="M76" s="18"/>
      <c r="U76" s="2"/>
    </row>
    <row r="77" spans="1:21" s="1" customFormat="1" ht="12.75">
      <c r="A77" s="11">
        <v>528</v>
      </c>
      <c r="B77" s="12" t="s">
        <v>96</v>
      </c>
      <c r="C77" s="12" t="s">
        <v>12</v>
      </c>
      <c r="D77" s="12" t="s">
        <v>52</v>
      </c>
      <c r="E77" s="12" t="s">
        <v>14</v>
      </c>
      <c r="F77" s="13">
        <v>7.9</v>
      </c>
      <c r="G77" s="14">
        <v>2</v>
      </c>
      <c r="H77" s="15">
        <f t="shared" si="2"/>
        <v>15.8</v>
      </c>
      <c r="I77" s="16">
        <v>0.63</v>
      </c>
      <c r="J77" s="16">
        <f t="shared" si="3"/>
        <v>1.26</v>
      </c>
      <c r="K77" s="19" t="s">
        <v>18</v>
      </c>
      <c r="M77" s="18"/>
      <c r="U77" s="2"/>
    </row>
    <row r="78" spans="1:21" s="1" customFormat="1" ht="12.75">
      <c r="A78" s="11">
        <v>539</v>
      </c>
      <c r="B78" s="12" t="s">
        <v>97</v>
      </c>
      <c r="C78" s="12" t="s">
        <v>74</v>
      </c>
      <c r="D78" s="12" t="s">
        <v>14</v>
      </c>
      <c r="E78" s="12" t="s">
        <v>98</v>
      </c>
      <c r="F78" s="20">
        <v>23</v>
      </c>
      <c r="G78" s="14">
        <v>5</v>
      </c>
      <c r="H78" s="15">
        <f t="shared" si="2"/>
        <v>115</v>
      </c>
      <c r="I78" s="16">
        <v>1.988</v>
      </c>
      <c r="J78" s="16">
        <f t="shared" si="3"/>
        <v>9.94</v>
      </c>
      <c r="K78" s="19" t="s">
        <v>18</v>
      </c>
      <c r="M78" s="18"/>
      <c r="U78" s="2"/>
    </row>
    <row r="79" spans="1:21" s="1" customFormat="1" ht="12.75">
      <c r="A79" s="11">
        <v>540</v>
      </c>
      <c r="B79" s="12" t="s">
        <v>99</v>
      </c>
      <c r="C79" s="12" t="s">
        <v>74</v>
      </c>
      <c r="D79" s="12" t="s">
        <v>14</v>
      </c>
      <c r="E79" s="12" t="s">
        <v>98</v>
      </c>
      <c r="F79" s="20">
        <v>63</v>
      </c>
      <c r="G79" s="14">
        <v>2</v>
      </c>
      <c r="H79" s="15">
        <f t="shared" si="2"/>
        <v>126</v>
      </c>
      <c r="I79" s="16">
        <v>4.62</v>
      </c>
      <c r="J79" s="16">
        <f t="shared" si="3"/>
        <v>9.24</v>
      </c>
      <c r="K79" s="19" t="s">
        <v>18</v>
      </c>
      <c r="M79" s="18"/>
      <c r="U79" s="2"/>
    </row>
    <row r="80" spans="1:21" s="1" customFormat="1" ht="12.75">
      <c r="A80" s="11">
        <v>551</v>
      </c>
      <c r="B80" s="12" t="s">
        <v>100</v>
      </c>
      <c r="C80" s="12" t="s">
        <v>12</v>
      </c>
      <c r="D80" s="12" t="s">
        <v>13</v>
      </c>
      <c r="E80" s="12" t="s">
        <v>14</v>
      </c>
      <c r="F80" s="13">
        <v>16.8</v>
      </c>
      <c r="G80" s="14">
        <f>1</f>
        <v>1</v>
      </c>
      <c r="H80" s="15">
        <f t="shared" si="2"/>
        <v>16.8</v>
      </c>
      <c r="I80" s="16">
        <v>1.428</v>
      </c>
      <c r="J80" s="16">
        <f t="shared" si="3"/>
        <v>1.428</v>
      </c>
      <c r="K80" s="19" t="s">
        <v>18</v>
      </c>
      <c r="M80" s="18"/>
      <c r="U80" s="2"/>
    </row>
    <row r="81" spans="1:21" s="1" customFormat="1" ht="12.75">
      <c r="A81" s="11">
        <v>552</v>
      </c>
      <c r="B81" s="12" t="s">
        <v>101</v>
      </c>
      <c r="C81" s="12" t="s">
        <v>12</v>
      </c>
      <c r="D81" s="12" t="s">
        <v>13</v>
      </c>
      <c r="E81" s="12" t="s">
        <v>14</v>
      </c>
      <c r="F81" s="13">
        <v>16.9</v>
      </c>
      <c r="G81" s="14">
        <v>1</v>
      </c>
      <c r="H81" s="15">
        <f t="shared" si="2"/>
        <v>16.9</v>
      </c>
      <c r="I81" s="16">
        <v>1.428</v>
      </c>
      <c r="J81" s="16">
        <f t="shared" si="3"/>
        <v>1.428</v>
      </c>
      <c r="K81" s="19" t="s">
        <v>18</v>
      </c>
      <c r="M81" s="18"/>
      <c r="U81" s="2"/>
    </row>
    <row r="82" spans="1:21" s="1" customFormat="1" ht="12.75">
      <c r="A82" s="11">
        <v>648</v>
      </c>
      <c r="B82" s="12" t="s">
        <v>102</v>
      </c>
      <c r="C82" s="12" t="s">
        <v>12</v>
      </c>
      <c r="D82" s="12" t="s">
        <v>103</v>
      </c>
      <c r="E82" s="12" t="s">
        <v>14</v>
      </c>
      <c r="F82" s="20">
        <v>85</v>
      </c>
      <c r="G82" s="14">
        <f>1+1</f>
        <v>2</v>
      </c>
      <c r="H82" s="15">
        <f t="shared" si="2"/>
        <v>170</v>
      </c>
      <c r="I82" s="16">
        <v>6.44</v>
      </c>
      <c r="J82" s="16">
        <f t="shared" si="3"/>
        <v>12.88</v>
      </c>
      <c r="K82" s="19" t="s">
        <v>18</v>
      </c>
      <c r="M82" s="18"/>
      <c r="U82" s="2"/>
    </row>
    <row r="83" spans="1:21" s="1" customFormat="1" ht="12.75">
      <c r="A83" s="11">
        <v>649</v>
      </c>
      <c r="B83" s="12" t="s">
        <v>224</v>
      </c>
      <c r="C83" s="12" t="s">
        <v>12</v>
      </c>
      <c r="D83" s="12" t="s">
        <v>103</v>
      </c>
      <c r="E83" s="12" t="s">
        <v>14</v>
      </c>
      <c r="F83" s="20">
        <v>21.3</v>
      </c>
      <c r="G83" s="14">
        <f>2</f>
        <v>2</v>
      </c>
      <c r="H83" s="15">
        <f t="shared" si="2"/>
        <v>42.6</v>
      </c>
      <c r="I83" s="16">
        <v>1.7079999999999997</v>
      </c>
      <c r="J83" s="16">
        <f t="shared" si="3"/>
        <v>3.4159999999999995</v>
      </c>
      <c r="K83" s="19" t="s">
        <v>18</v>
      </c>
      <c r="M83" s="18"/>
      <c r="U83" s="2"/>
    </row>
    <row r="84" spans="1:21" s="1" customFormat="1" ht="12.75">
      <c r="A84" s="11">
        <v>650</v>
      </c>
      <c r="B84" s="12" t="s">
        <v>225</v>
      </c>
      <c r="C84" s="12" t="s">
        <v>12</v>
      </c>
      <c r="D84" s="12" t="s">
        <v>103</v>
      </c>
      <c r="E84" s="12" t="s">
        <v>14</v>
      </c>
      <c r="F84" s="13">
        <v>34.7</v>
      </c>
      <c r="G84" s="14">
        <f>1</f>
        <v>1</v>
      </c>
      <c r="H84" s="15">
        <f t="shared" si="2"/>
        <v>34.7</v>
      </c>
      <c r="I84" s="16">
        <v>3.22</v>
      </c>
      <c r="J84" s="16">
        <f t="shared" si="3"/>
        <v>3.22</v>
      </c>
      <c r="K84" s="19" t="s">
        <v>18</v>
      </c>
      <c r="M84" s="18"/>
      <c r="U84" s="2"/>
    </row>
    <row r="85" spans="1:21" s="1" customFormat="1" ht="12.75">
      <c r="A85" s="11">
        <v>655</v>
      </c>
      <c r="B85" s="12" t="s">
        <v>226</v>
      </c>
      <c r="C85" s="12" t="s">
        <v>74</v>
      </c>
      <c r="D85" s="12" t="s">
        <v>14</v>
      </c>
      <c r="E85" s="12" t="s">
        <v>98</v>
      </c>
      <c r="F85" s="20">
        <v>25</v>
      </c>
      <c r="G85" s="14">
        <v>1</v>
      </c>
      <c r="H85" s="15">
        <f t="shared" si="2"/>
        <v>25</v>
      </c>
      <c r="I85" s="16">
        <v>2.212</v>
      </c>
      <c r="J85" s="16">
        <f t="shared" si="3"/>
        <v>2.212</v>
      </c>
      <c r="K85" s="19" t="s">
        <v>18</v>
      </c>
      <c r="M85" s="18"/>
      <c r="U85" s="2"/>
    </row>
    <row r="86" spans="1:21" s="1" customFormat="1" ht="12.75">
      <c r="A86" s="11">
        <v>656</v>
      </c>
      <c r="B86" s="12" t="s">
        <v>227</v>
      </c>
      <c r="C86" s="12" t="s">
        <v>74</v>
      </c>
      <c r="D86" s="12" t="s">
        <v>14</v>
      </c>
      <c r="E86" s="12" t="s">
        <v>98</v>
      </c>
      <c r="F86" s="20">
        <v>52</v>
      </c>
      <c r="G86" s="14">
        <v>5</v>
      </c>
      <c r="H86" s="15">
        <f t="shared" si="2"/>
        <v>260</v>
      </c>
      <c r="I86" s="16">
        <v>3.5</v>
      </c>
      <c r="J86" s="16">
        <f t="shared" si="3"/>
        <v>17.5</v>
      </c>
      <c r="K86" s="19" t="s">
        <v>18</v>
      </c>
      <c r="M86" s="18"/>
      <c r="U86" s="2"/>
    </row>
    <row r="87" spans="1:21" s="1" customFormat="1" ht="12.75">
      <c r="A87" s="11">
        <v>657</v>
      </c>
      <c r="B87" s="12" t="s">
        <v>228</v>
      </c>
      <c r="C87" s="12" t="s">
        <v>74</v>
      </c>
      <c r="D87" s="12" t="s">
        <v>14</v>
      </c>
      <c r="E87" s="12" t="s">
        <v>98</v>
      </c>
      <c r="F87" s="20">
        <v>114</v>
      </c>
      <c r="G87" s="14">
        <v>3</v>
      </c>
      <c r="H87" s="15">
        <f t="shared" si="2"/>
        <v>342</v>
      </c>
      <c r="I87" s="16">
        <v>8.96</v>
      </c>
      <c r="J87" s="16">
        <f t="shared" si="3"/>
        <v>26.880000000000003</v>
      </c>
      <c r="K87" s="19" t="s">
        <v>18</v>
      </c>
      <c r="M87" s="18"/>
      <c r="U87" s="2"/>
    </row>
    <row r="88" spans="1:21" s="1" customFormat="1" ht="12.75">
      <c r="A88" s="11">
        <v>659</v>
      </c>
      <c r="B88" s="12" t="s">
        <v>229</v>
      </c>
      <c r="C88" s="12" t="s">
        <v>74</v>
      </c>
      <c r="D88" s="12" t="s">
        <v>14</v>
      </c>
      <c r="E88" s="12" t="s">
        <v>98</v>
      </c>
      <c r="F88" s="20">
        <v>35</v>
      </c>
      <c r="G88" s="14">
        <v>1</v>
      </c>
      <c r="H88" s="15">
        <f t="shared" si="2"/>
        <v>35</v>
      </c>
      <c r="I88" s="16">
        <v>3.22</v>
      </c>
      <c r="J88" s="16">
        <f t="shared" si="3"/>
        <v>3.22</v>
      </c>
      <c r="K88" s="19" t="s">
        <v>18</v>
      </c>
      <c r="M88" s="18"/>
      <c r="U88" s="2"/>
    </row>
    <row r="89" spans="1:21" s="1" customFormat="1" ht="25.5">
      <c r="A89" s="11">
        <v>660</v>
      </c>
      <c r="B89" s="12" t="s">
        <v>230</v>
      </c>
      <c r="C89" s="12" t="s">
        <v>74</v>
      </c>
      <c r="D89" s="12" t="s">
        <v>14</v>
      </c>
      <c r="E89" s="12" t="s">
        <v>98</v>
      </c>
      <c r="F89" s="20">
        <v>80</v>
      </c>
      <c r="G89" s="14">
        <v>1</v>
      </c>
      <c r="H89" s="15">
        <f t="shared" si="2"/>
        <v>80</v>
      </c>
      <c r="I89" s="16">
        <v>6.16</v>
      </c>
      <c r="J89" s="16">
        <f t="shared" si="3"/>
        <v>6.16</v>
      </c>
      <c r="K89" s="19" t="s">
        <v>18</v>
      </c>
      <c r="M89" s="18"/>
      <c r="U89" s="2"/>
    </row>
    <row r="90" spans="1:21" s="1" customFormat="1" ht="12.75">
      <c r="A90" s="11">
        <v>666</v>
      </c>
      <c r="B90" s="12" t="s">
        <v>231</v>
      </c>
      <c r="C90" s="12" t="s">
        <v>12</v>
      </c>
      <c r="D90" s="12" t="s">
        <v>47</v>
      </c>
      <c r="E90" s="12" t="s">
        <v>14</v>
      </c>
      <c r="F90" s="20">
        <v>92</v>
      </c>
      <c r="G90" s="14">
        <f>1</f>
        <v>1</v>
      </c>
      <c r="H90" s="15">
        <f t="shared" si="2"/>
        <v>92</v>
      </c>
      <c r="I90" s="16">
        <v>6.72</v>
      </c>
      <c r="J90" s="16">
        <f t="shared" si="3"/>
        <v>6.72</v>
      </c>
      <c r="K90" s="19" t="s">
        <v>18</v>
      </c>
      <c r="M90" s="18"/>
      <c r="U90" s="2"/>
    </row>
    <row r="91" spans="1:21" s="1" customFormat="1" ht="25.5">
      <c r="A91" s="11">
        <v>675</v>
      </c>
      <c r="B91" s="12" t="s">
        <v>232</v>
      </c>
      <c r="C91" s="12" t="s">
        <v>233</v>
      </c>
      <c r="D91" s="12" t="s">
        <v>234</v>
      </c>
      <c r="E91" s="12" t="s">
        <v>235</v>
      </c>
      <c r="F91" s="20">
        <v>0.48</v>
      </c>
      <c r="G91" s="14">
        <v>146</v>
      </c>
      <c r="H91" s="15">
        <f t="shared" si="2"/>
        <v>70.08</v>
      </c>
      <c r="I91" s="16">
        <v>0.028000000000000004</v>
      </c>
      <c r="J91" s="16">
        <f t="shared" si="3"/>
        <v>4.088000000000001</v>
      </c>
      <c r="K91" s="19" t="s">
        <v>18</v>
      </c>
      <c r="M91" s="18"/>
      <c r="U91" s="2"/>
    </row>
    <row r="92" spans="1:21" s="1" customFormat="1" ht="25.5">
      <c r="A92" s="11">
        <v>676</v>
      </c>
      <c r="B92" s="12" t="s">
        <v>236</v>
      </c>
      <c r="C92" s="12" t="s">
        <v>233</v>
      </c>
      <c r="D92" s="12" t="s">
        <v>234</v>
      </c>
      <c r="E92" s="12" t="s">
        <v>235</v>
      </c>
      <c r="F92" s="20">
        <v>0.48</v>
      </c>
      <c r="G92" s="14">
        <v>29</v>
      </c>
      <c r="H92" s="15">
        <f t="shared" si="2"/>
        <v>13.92</v>
      </c>
      <c r="I92" s="16">
        <v>0.028000000000000004</v>
      </c>
      <c r="J92" s="16">
        <f t="shared" si="3"/>
        <v>0.8120000000000002</v>
      </c>
      <c r="K92" s="19" t="s">
        <v>18</v>
      </c>
      <c r="M92" s="18"/>
      <c r="U92" s="2"/>
    </row>
    <row r="93" spans="1:21" s="1" customFormat="1" ht="25.5">
      <c r="A93" s="11">
        <v>680</v>
      </c>
      <c r="B93" s="12" t="s">
        <v>237</v>
      </c>
      <c r="C93" s="12" t="s">
        <v>233</v>
      </c>
      <c r="D93" s="12" t="s">
        <v>238</v>
      </c>
      <c r="E93" s="12" t="s">
        <v>239</v>
      </c>
      <c r="F93" s="20">
        <v>0.03</v>
      </c>
      <c r="G93" s="14">
        <f>180</f>
        <v>180</v>
      </c>
      <c r="H93" s="15">
        <f t="shared" si="2"/>
        <v>5.3999999999999995</v>
      </c>
      <c r="I93" s="16">
        <v>0.004</v>
      </c>
      <c r="J93" s="16">
        <f t="shared" si="3"/>
        <v>0.72</v>
      </c>
      <c r="K93" s="19" t="s">
        <v>18</v>
      </c>
      <c r="M93" s="18"/>
      <c r="U93" s="2"/>
    </row>
    <row r="94" spans="1:21" s="1" customFormat="1" ht="12.75">
      <c r="A94" s="11">
        <v>684</v>
      </c>
      <c r="B94" s="12" t="s">
        <v>240</v>
      </c>
      <c r="C94" s="12" t="s">
        <v>233</v>
      </c>
      <c r="D94" s="12" t="s">
        <v>238</v>
      </c>
      <c r="E94" s="12" t="s">
        <v>239</v>
      </c>
      <c r="F94" s="20">
        <v>0.028</v>
      </c>
      <c r="G94" s="14">
        <f>9</f>
        <v>9</v>
      </c>
      <c r="H94" s="15">
        <f t="shared" si="2"/>
        <v>0.252</v>
      </c>
      <c r="I94" s="16">
        <v>0.004</v>
      </c>
      <c r="J94" s="16">
        <f t="shared" si="3"/>
        <v>0.036000000000000004</v>
      </c>
      <c r="K94" s="19" t="s">
        <v>18</v>
      </c>
      <c r="M94" s="18"/>
      <c r="U94" s="2"/>
    </row>
    <row r="95" spans="1:21" s="1" customFormat="1" ht="25.5">
      <c r="A95" s="11">
        <v>687</v>
      </c>
      <c r="B95" s="14" t="s">
        <v>241</v>
      </c>
      <c r="C95" s="12" t="s">
        <v>233</v>
      </c>
      <c r="D95" s="12" t="s">
        <v>238</v>
      </c>
      <c r="E95" s="12" t="s">
        <v>239</v>
      </c>
      <c r="F95" s="20">
        <v>0.01</v>
      </c>
      <c r="G95" s="14">
        <f>4</f>
        <v>4</v>
      </c>
      <c r="H95" s="15">
        <f t="shared" si="2"/>
        <v>0.04</v>
      </c>
      <c r="I95" s="16">
        <v>0.004</v>
      </c>
      <c r="J95" s="16">
        <f t="shared" si="3"/>
        <v>0.016</v>
      </c>
      <c r="K95" s="19" t="s">
        <v>18</v>
      </c>
      <c r="M95" s="18"/>
      <c r="U95" s="2"/>
    </row>
    <row r="96" spans="1:21" s="1" customFormat="1" ht="25.5">
      <c r="A96" s="11">
        <v>688</v>
      </c>
      <c r="B96" s="12" t="s">
        <v>242</v>
      </c>
      <c r="C96" s="12" t="s">
        <v>233</v>
      </c>
      <c r="D96" s="12" t="s">
        <v>238</v>
      </c>
      <c r="E96" s="12" t="s">
        <v>239</v>
      </c>
      <c r="F96" s="20">
        <v>0.03</v>
      </c>
      <c r="G96" s="14">
        <f>138</f>
        <v>138</v>
      </c>
      <c r="H96" s="15">
        <f t="shared" si="2"/>
        <v>4.14</v>
      </c>
      <c r="I96" s="16">
        <v>0.004</v>
      </c>
      <c r="J96" s="16">
        <f t="shared" si="3"/>
        <v>0.552</v>
      </c>
      <c r="K96" s="19" t="s">
        <v>18</v>
      </c>
      <c r="M96" s="18"/>
      <c r="U96" s="2"/>
    </row>
    <row r="97" spans="1:21" s="1" customFormat="1" ht="25.5">
      <c r="A97" s="11">
        <v>689</v>
      </c>
      <c r="B97" s="12" t="s">
        <v>243</v>
      </c>
      <c r="C97" s="12" t="s">
        <v>233</v>
      </c>
      <c r="D97" s="12" t="s">
        <v>238</v>
      </c>
      <c r="E97" s="12" t="s">
        <v>239</v>
      </c>
      <c r="F97" s="20">
        <v>0.01</v>
      </c>
      <c r="G97" s="14">
        <f>284</f>
        <v>284</v>
      </c>
      <c r="H97" s="15">
        <f t="shared" si="2"/>
        <v>2.84</v>
      </c>
      <c r="I97" s="16">
        <v>0.004</v>
      </c>
      <c r="J97" s="16">
        <f t="shared" si="3"/>
        <v>1.1360000000000001</v>
      </c>
      <c r="K97" s="19" t="s">
        <v>18</v>
      </c>
      <c r="M97" s="18"/>
      <c r="U97" s="2"/>
    </row>
    <row r="98" spans="1:21" s="1" customFormat="1" ht="12.75">
      <c r="A98" s="11">
        <v>704</v>
      </c>
      <c r="B98" s="12" t="s">
        <v>244</v>
      </c>
      <c r="C98" s="12" t="s">
        <v>233</v>
      </c>
      <c r="D98" s="12" t="s">
        <v>238</v>
      </c>
      <c r="E98" s="12" t="s">
        <v>239</v>
      </c>
      <c r="F98" s="20">
        <v>0.028</v>
      </c>
      <c r="G98" s="14">
        <f>217</f>
        <v>217</v>
      </c>
      <c r="H98" s="15">
        <f t="shared" si="2"/>
        <v>6.0760000000000005</v>
      </c>
      <c r="I98" s="16">
        <v>0.004</v>
      </c>
      <c r="J98" s="16">
        <f t="shared" si="3"/>
        <v>0.868</v>
      </c>
      <c r="K98" s="19" t="s">
        <v>18</v>
      </c>
      <c r="M98" s="18"/>
      <c r="U98" s="2"/>
    </row>
    <row r="99" spans="1:21" s="1" customFormat="1" ht="12.75">
      <c r="A99" s="11">
        <v>706</v>
      </c>
      <c r="B99" s="12" t="s">
        <v>245</v>
      </c>
      <c r="C99" s="12" t="s">
        <v>233</v>
      </c>
      <c r="D99" s="12" t="s">
        <v>238</v>
      </c>
      <c r="E99" s="12" t="s">
        <v>239</v>
      </c>
      <c r="F99" s="20">
        <v>0.01</v>
      </c>
      <c r="G99" s="14">
        <f>14+58</f>
        <v>72</v>
      </c>
      <c r="H99" s="15">
        <f t="shared" si="2"/>
        <v>0.72</v>
      </c>
      <c r="I99" s="16">
        <v>0.004</v>
      </c>
      <c r="J99" s="16">
        <f t="shared" si="3"/>
        <v>0.28800000000000003</v>
      </c>
      <c r="K99" s="19" t="s">
        <v>18</v>
      </c>
      <c r="M99" s="18"/>
      <c r="U99" s="2"/>
    </row>
    <row r="100" spans="1:21" s="1" customFormat="1" ht="12.75">
      <c r="A100" s="11">
        <v>707</v>
      </c>
      <c r="B100" s="12" t="s">
        <v>246</v>
      </c>
      <c r="C100" s="12" t="s">
        <v>233</v>
      </c>
      <c r="D100" s="12" t="s">
        <v>238</v>
      </c>
      <c r="E100" s="12" t="s">
        <v>239</v>
      </c>
      <c r="F100" s="20">
        <v>0.03</v>
      </c>
      <c r="G100" s="14">
        <f>71</f>
        <v>71</v>
      </c>
      <c r="H100" s="15">
        <f t="shared" si="2"/>
        <v>2.13</v>
      </c>
      <c r="I100" s="16">
        <v>0.004</v>
      </c>
      <c r="J100" s="16">
        <f t="shared" si="3"/>
        <v>0.28400000000000003</v>
      </c>
      <c r="K100" s="19" t="s">
        <v>18</v>
      </c>
      <c r="M100" s="18"/>
      <c r="U100" s="2"/>
    </row>
    <row r="101" spans="1:21" s="1" customFormat="1" ht="12.75">
      <c r="A101" s="11">
        <v>708</v>
      </c>
      <c r="B101" s="12" t="s">
        <v>247</v>
      </c>
      <c r="C101" s="12" t="s">
        <v>233</v>
      </c>
      <c r="D101" s="12" t="s">
        <v>238</v>
      </c>
      <c r="E101" s="12" t="s">
        <v>239</v>
      </c>
      <c r="F101" s="20">
        <v>0.03</v>
      </c>
      <c r="G101" s="14">
        <f>162</f>
        <v>162</v>
      </c>
      <c r="H101" s="15">
        <f t="shared" si="2"/>
        <v>4.859999999999999</v>
      </c>
      <c r="I101" s="16">
        <v>0.004</v>
      </c>
      <c r="J101" s="16">
        <f t="shared" si="3"/>
        <v>0.648</v>
      </c>
      <c r="K101" s="19" t="s">
        <v>18</v>
      </c>
      <c r="M101" s="18"/>
      <c r="U101" s="2"/>
    </row>
    <row r="102" spans="1:21" s="1" customFormat="1" ht="12.75">
      <c r="A102" s="11">
        <v>710</v>
      </c>
      <c r="B102" s="12" t="s">
        <v>248</v>
      </c>
      <c r="C102" s="12" t="s">
        <v>233</v>
      </c>
      <c r="D102" s="12" t="s">
        <v>238</v>
      </c>
      <c r="E102" s="12" t="s">
        <v>239</v>
      </c>
      <c r="F102" s="20">
        <v>0.01</v>
      </c>
      <c r="G102" s="14">
        <f>67</f>
        <v>67</v>
      </c>
      <c r="H102" s="15">
        <f t="shared" si="2"/>
        <v>0.67</v>
      </c>
      <c r="I102" s="16">
        <v>0.004</v>
      </c>
      <c r="J102" s="16">
        <f t="shared" si="3"/>
        <v>0.268</v>
      </c>
      <c r="K102" s="19" t="s">
        <v>18</v>
      </c>
      <c r="M102" s="18"/>
      <c r="U102" s="2"/>
    </row>
    <row r="103" spans="1:21" s="1" customFormat="1" ht="12.75">
      <c r="A103" s="11">
        <v>711</v>
      </c>
      <c r="B103" s="12" t="s">
        <v>249</v>
      </c>
      <c r="C103" s="12" t="s">
        <v>233</v>
      </c>
      <c r="D103" s="12" t="s">
        <v>238</v>
      </c>
      <c r="E103" s="12" t="s">
        <v>239</v>
      </c>
      <c r="F103" s="20">
        <v>0.03</v>
      </c>
      <c r="G103" s="14">
        <f>48</f>
        <v>48</v>
      </c>
      <c r="H103" s="15">
        <f t="shared" si="2"/>
        <v>1.44</v>
      </c>
      <c r="I103" s="16">
        <v>0.004</v>
      </c>
      <c r="J103" s="16">
        <f t="shared" si="3"/>
        <v>0.192</v>
      </c>
      <c r="K103" s="19" t="s">
        <v>18</v>
      </c>
      <c r="M103" s="18"/>
      <c r="U103" s="2"/>
    </row>
    <row r="104" spans="1:21" s="1" customFormat="1" ht="15">
      <c r="A104" s="11">
        <v>712</v>
      </c>
      <c r="B104" s="12" t="s">
        <v>250</v>
      </c>
      <c r="C104" s="12" t="s">
        <v>233</v>
      </c>
      <c r="D104" s="12" t="s">
        <v>238</v>
      </c>
      <c r="E104" s="12" t="s">
        <v>239</v>
      </c>
      <c r="F104" s="20">
        <v>0.028</v>
      </c>
      <c r="G104" s="14">
        <f>126+38</f>
        <v>164</v>
      </c>
      <c r="H104" s="15">
        <f t="shared" si="2"/>
        <v>4.5920000000000005</v>
      </c>
      <c r="I104" s="16">
        <v>0.004</v>
      </c>
      <c r="J104" s="16">
        <f t="shared" si="3"/>
        <v>0.656</v>
      </c>
      <c r="K104" s="19" t="s">
        <v>18</v>
      </c>
      <c r="L104" s="3"/>
      <c r="M104" s="21"/>
      <c r="U104" s="2"/>
    </row>
    <row r="105" spans="1:21" s="1" customFormat="1" ht="25.5">
      <c r="A105" s="11">
        <v>713</v>
      </c>
      <c r="B105" s="12" t="s">
        <v>251</v>
      </c>
      <c r="C105" s="12" t="s">
        <v>233</v>
      </c>
      <c r="D105" s="12" t="s">
        <v>238</v>
      </c>
      <c r="E105" s="12" t="s">
        <v>239</v>
      </c>
      <c r="F105" s="20">
        <v>0.028</v>
      </c>
      <c r="G105" s="14">
        <f>63</f>
        <v>63</v>
      </c>
      <c r="H105" s="15">
        <f t="shared" si="2"/>
        <v>1.764</v>
      </c>
      <c r="I105" s="16">
        <v>0.004</v>
      </c>
      <c r="J105" s="16">
        <f t="shared" si="3"/>
        <v>0.252</v>
      </c>
      <c r="K105" s="19" t="s">
        <v>18</v>
      </c>
      <c r="U105" s="2"/>
    </row>
    <row r="106" spans="1:21" s="1" customFormat="1" ht="25.5">
      <c r="A106" s="11">
        <v>714</v>
      </c>
      <c r="B106" s="12" t="s">
        <v>252</v>
      </c>
      <c r="C106" s="12" t="s">
        <v>233</v>
      </c>
      <c r="D106" s="12" t="s">
        <v>238</v>
      </c>
      <c r="E106" s="12" t="s">
        <v>239</v>
      </c>
      <c r="F106" s="20">
        <v>0.03</v>
      </c>
      <c r="G106" s="14">
        <f>304+85</f>
        <v>389</v>
      </c>
      <c r="H106" s="15">
        <f t="shared" si="2"/>
        <v>11.67</v>
      </c>
      <c r="I106" s="16">
        <v>0.004</v>
      </c>
      <c r="J106" s="16">
        <f t="shared" si="3"/>
        <v>1.556</v>
      </c>
      <c r="K106" s="19" t="s">
        <v>18</v>
      </c>
      <c r="U106" s="2"/>
    </row>
    <row r="107" spans="1:21" s="1" customFormat="1" ht="25.5">
      <c r="A107" s="11">
        <v>718</v>
      </c>
      <c r="B107" s="12" t="s">
        <v>253</v>
      </c>
      <c r="C107" s="12" t="s">
        <v>233</v>
      </c>
      <c r="D107" s="12" t="s">
        <v>238</v>
      </c>
      <c r="E107" s="12" t="s">
        <v>239</v>
      </c>
      <c r="F107" s="20">
        <v>0.01</v>
      </c>
      <c r="G107" s="14">
        <f>526</f>
        <v>526</v>
      </c>
      <c r="H107" s="15">
        <f t="shared" si="2"/>
        <v>5.26</v>
      </c>
      <c r="I107" s="16">
        <v>0.004</v>
      </c>
      <c r="J107" s="16">
        <f t="shared" si="3"/>
        <v>2.104</v>
      </c>
      <c r="K107" s="19" t="s">
        <v>18</v>
      </c>
      <c r="U107" s="2"/>
    </row>
    <row r="108" spans="1:21" s="1" customFormat="1" ht="25.5">
      <c r="A108" s="11">
        <v>719</v>
      </c>
      <c r="B108" s="12" t="s">
        <v>254</v>
      </c>
      <c r="C108" s="12" t="s">
        <v>233</v>
      </c>
      <c r="D108" s="12" t="s">
        <v>238</v>
      </c>
      <c r="E108" s="12" t="s">
        <v>239</v>
      </c>
      <c r="F108" s="20">
        <v>0.01</v>
      </c>
      <c r="G108" s="14">
        <f>1090+50</f>
        <v>1140</v>
      </c>
      <c r="H108" s="15">
        <f t="shared" si="2"/>
        <v>11.4</v>
      </c>
      <c r="I108" s="16">
        <v>0.004</v>
      </c>
      <c r="J108" s="16">
        <f t="shared" si="3"/>
        <v>4.5600000000000005</v>
      </c>
      <c r="K108" s="19" t="s">
        <v>18</v>
      </c>
      <c r="U108" s="2"/>
    </row>
    <row r="109" spans="1:21" s="1" customFormat="1" ht="25.5">
      <c r="A109" s="11">
        <v>720</v>
      </c>
      <c r="B109" s="12" t="s">
        <v>255</v>
      </c>
      <c r="C109" s="12" t="s">
        <v>233</v>
      </c>
      <c r="D109" s="12" t="s">
        <v>238</v>
      </c>
      <c r="E109" s="12" t="s">
        <v>239</v>
      </c>
      <c r="F109" s="20">
        <v>0.028</v>
      </c>
      <c r="G109" s="14">
        <f>123+6</f>
        <v>129</v>
      </c>
      <c r="H109" s="15">
        <f t="shared" si="2"/>
        <v>3.612</v>
      </c>
      <c r="I109" s="16">
        <v>0.004</v>
      </c>
      <c r="J109" s="16">
        <f t="shared" si="3"/>
        <v>0.516</v>
      </c>
      <c r="K109" s="19" t="s">
        <v>18</v>
      </c>
      <c r="U109" s="2"/>
    </row>
    <row r="110" spans="1:21" s="1" customFormat="1" ht="25.5">
      <c r="A110" s="11">
        <v>721</v>
      </c>
      <c r="B110" s="12" t="s">
        <v>256</v>
      </c>
      <c r="C110" s="12" t="s">
        <v>233</v>
      </c>
      <c r="D110" s="12" t="s">
        <v>238</v>
      </c>
      <c r="E110" s="12" t="s">
        <v>239</v>
      </c>
      <c r="F110" s="20">
        <v>0.01</v>
      </c>
      <c r="G110" s="14">
        <f>785+42</f>
        <v>827</v>
      </c>
      <c r="H110" s="15">
        <f t="shared" si="2"/>
        <v>8.27</v>
      </c>
      <c r="I110" s="16">
        <v>0.004</v>
      </c>
      <c r="J110" s="16">
        <f t="shared" si="3"/>
        <v>3.3080000000000003</v>
      </c>
      <c r="K110" s="19" t="s">
        <v>18</v>
      </c>
      <c r="U110" s="2"/>
    </row>
    <row r="111" spans="1:21" s="1" customFormat="1" ht="25.5">
      <c r="A111" s="11">
        <v>722</v>
      </c>
      <c r="B111" s="12" t="s">
        <v>257</v>
      </c>
      <c r="C111" s="12" t="s">
        <v>233</v>
      </c>
      <c r="D111" s="12" t="s">
        <v>238</v>
      </c>
      <c r="E111" s="12" t="s">
        <v>239</v>
      </c>
      <c r="F111" s="20">
        <v>0.01</v>
      </c>
      <c r="G111" s="14">
        <v>908</v>
      </c>
      <c r="H111" s="15">
        <f t="shared" si="2"/>
        <v>9.08</v>
      </c>
      <c r="I111" s="16">
        <v>0.004</v>
      </c>
      <c r="J111" s="16">
        <f t="shared" si="3"/>
        <v>3.632</v>
      </c>
      <c r="K111" s="19" t="s">
        <v>18</v>
      </c>
      <c r="U111" s="2"/>
    </row>
    <row r="112" spans="1:21" s="1" customFormat="1" ht="25.5">
      <c r="A112" s="11">
        <v>723</v>
      </c>
      <c r="B112" s="12" t="s">
        <v>258</v>
      </c>
      <c r="C112" s="12" t="s">
        <v>233</v>
      </c>
      <c r="D112" s="12" t="s">
        <v>238</v>
      </c>
      <c r="E112" s="12" t="s">
        <v>239</v>
      </c>
      <c r="F112" s="20">
        <v>0.01</v>
      </c>
      <c r="G112" s="14">
        <f>250+300+128</f>
        <v>678</v>
      </c>
      <c r="H112" s="15">
        <f t="shared" si="2"/>
        <v>6.78</v>
      </c>
      <c r="I112" s="16">
        <v>0.004</v>
      </c>
      <c r="J112" s="16">
        <f t="shared" si="3"/>
        <v>2.712</v>
      </c>
      <c r="K112" s="19"/>
      <c r="U112" s="2"/>
    </row>
    <row r="113" spans="1:21" s="1" customFormat="1" ht="25.5">
      <c r="A113" s="11">
        <v>728</v>
      </c>
      <c r="B113" s="12" t="s">
        <v>259</v>
      </c>
      <c r="C113" s="12" t="s">
        <v>233</v>
      </c>
      <c r="D113" s="12" t="s">
        <v>238</v>
      </c>
      <c r="E113" s="12" t="s">
        <v>239</v>
      </c>
      <c r="F113" s="20">
        <v>0.01</v>
      </c>
      <c r="G113" s="14">
        <f>131+32</f>
        <v>163</v>
      </c>
      <c r="H113" s="15">
        <f t="shared" si="2"/>
        <v>1.6300000000000001</v>
      </c>
      <c r="I113" s="16">
        <v>0.004</v>
      </c>
      <c r="J113" s="16">
        <f t="shared" si="3"/>
        <v>0.652</v>
      </c>
      <c r="K113" s="19" t="s">
        <v>18</v>
      </c>
      <c r="U113" s="2"/>
    </row>
    <row r="114" spans="1:21" s="1" customFormat="1" ht="12.75">
      <c r="A114" s="11">
        <v>729</v>
      </c>
      <c r="B114" s="12" t="s">
        <v>260</v>
      </c>
      <c r="C114" s="12" t="s">
        <v>233</v>
      </c>
      <c r="D114" s="12" t="s">
        <v>238</v>
      </c>
      <c r="E114" s="12" t="s">
        <v>239</v>
      </c>
      <c r="F114" s="20">
        <v>0.01</v>
      </c>
      <c r="G114" s="14">
        <f>34+16</f>
        <v>50</v>
      </c>
      <c r="H114" s="15">
        <f t="shared" si="2"/>
        <v>0.5</v>
      </c>
      <c r="I114" s="16">
        <v>0.004</v>
      </c>
      <c r="J114" s="16">
        <f t="shared" si="3"/>
        <v>0.2</v>
      </c>
      <c r="K114" s="19" t="s">
        <v>18</v>
      </c>
      <c r="U114" s="2"/>
    </row>
    <row r="115" spans="1:21" s="1" customFormat="1" ht="12.75">
      <c r="A115" s="11">
        <v>732</v>
      </c>
      <c r="B115" s="12" t="s">
        <v>261</v>
      </c>
      <c r="C115" s="12" t="s">
        <v>233</v>
      </c>
      <c r="D115" s="12" t="s">
        <v>238</v>
      </c>
      <c r="E115" s="12" t="s">
        <v>239</v>
      </c>
      <c r="F115" s="20">
        <v>0.028</v>
      </c>
      <c r="G115" s="14">
        <f>67</f>
        <v>67</v>
      </c>
      <c r="H115" s="15">
        <f t="shared" si="2"/>
        <v>1.8760000000000001</v>
      </c>
      <c r="I115" s="16">
        <v>0.004</v>
      </c>
      <c r="J115" s="16">
        <f t="shared" si="3"/>
        <v>0.268</v>
      </c>
      <c r="K115" s="19" t="s">
        <v>18</v>
      </c>
      <c r="U115" s="2"/>
    </row>
    <row r="116" spans="1:21" s="1" customFormat="1" ht="25.5">
      <c r="A116" s="11">
        <v>734</v>
      </c>
      <c r="B116" s="12" t="s">
        <v>262</v>
      </c>
      <c r="C116" s="12" t="s">
        <v>233</v>
      </c>
      <c r="D116" s="12" t="s">
        <v>238</v>
      </c>
      <c r="E116" s="12" t="s">
        <v>239</v>
      </c>
      <c r="F116" s="20">
        <v>0.01</v>
      </c>
      <c r="G116" s="14">
        <f>53</f>
        <v>53</v>
      </c>
      <c r="H116" s="15">
        <f t="shared" si="2"/>
        <v>0.53</v>
      </c>
      <c r="I116" s="16">
        <v>0.004</v>
      </c>
      <c r="J116" s="16">
        <f t="shared" si="3"/>
        <v>0.212</v>
      </c>
      <c r="K116" s="19" t="s">
        <v>18</v>
      </c>
      <c r="U116" s="2"/>
    </row>
    <row r="117" spans="1:21" s="1" customFormat="1" ht="12.75">
      <c r="A117" s="11">
        <v>735</v>
      </c>
      <c r="B117" s="12" t="s">
        <v>263</v>
      </c>
      <c r="C117" s="12" t="s">
        <v>233</v>
      </c>
      <c r="D117" s="12" t="s">
        <v>238</v>
      </c>
      <c r="E117" s="12" t="s">
        <v>239</v>
      </c>
      <c r="F117" s="20">
        <v>0.01</v>
      </c>
      <c r="G117" s="14">
        <f>509+47</f>
        <v>556</v>
      </c>
      <c r="H117" s="15">
        <f t="shared" si="2"/>
        <v>5.5600000000000005</v>
      </c>
      <c r="I117" s="16">
        <v>0.004</v>
      </c>
      <c r="J117" s="16">
        <f t="shared" si="3"/>
        <v>2.224</v>
      </c>
      <c r="K117" s="19" t="s">
        <v>18</v>
      </c>
      <c r="L117" s="22"/>
      <c r="U117" s="2"/>
    </row>
    <row r="118" spans="1:21" s="1" customFormat="1" ht="25.5">
      <c r="A118" s="11">
        <v>736</v>
      </c>
      <c r="B118" s="12" t="s">
        <v>264</v>
      </c>
      <c r="C118" s="12" t="s">
        <v>233</v>
      </c>
      <c r="D118" s="12" t="s">
        <v>238</v>
      </c>
      <c r="E118" s="12" t="s">
        <v>239</v>
      </c>
      <c r="F118" s="20">
        <v>0.01</v>
      </c>
      <c r="G118" s="14">
        <f>42</f>
        <v>42</v>
      </c>
      <c r="H118" s="15">
        <f t="shared" si="2"/>
        <v>0.42</v>
      </c>
      <c r="I118" s="16">
        <v>0.004</v>
      </c>
      <c r="J118" s="16">
        <f t="shared" si="3"/>
        <v>0.168</v>
      </c>
      <c r="K118" s="19" t="s">
        <v>18</v>
      </c>
      <c r="U118" s="2"/>
    </row>
    <row r="119" spans="1:21" s="1" customFormat="1" ht="12.75">
      <c r="A119" s="11">
        <v>737</v>
      </c>
      <c r="B119" s="12" t="s">
        <v>265</v>
      </c>
      <c r="C119" s="12" t="s">
        <v>233</v>
      </c>
      <c r="D119" s="12" t="s">
        <v>238</v>
      </c>
      <c r="E119" s="12" t="s">
        <v>239</v>
      </c>
      <c r="F119" s="20">
        <v>0.028</v>
      </c>
      <c r="G119" s="14">
        <f>114</f>
        <v>114</v>
      </c>
      <c r="H119" s="15">
        <f t="shared" si="2"/>
        <v>3.192</v>
      </c>
      <c r="I119" s="16">
        <v>0.004</v>
      </c>
      <c r="J119" s="16">
        <f t="shared" si="3"/>
        <v>0.456</v>
      </c>
      <c r="K119" s="19" t="s">
        <v>18</v>
      </c>
      <c r="L119" s="22"/>
      <c r="U119" s="2"/>
    </row>
    <row r="120" spans="1:21" s="1" customFormat="1" ht="12.75">
      <c r="A120" s="11">
        <v>740</v>
      </c>
      <c r="B120" s="12" t="s">
        <v>266</v>
      </c>
      <c r="C120" s="12" t="s">
        <v>233</v>
      </c>
      <c r="D120" s="12" t="s">
        <v>238</v>
      </c>
      <c r="E120" s="12" t="s">
        <v>239</v>
      </c>
      <c r="F120" s="20">
        <v>0.01</v>
      </c>
      <c r="G120" s="14">
        <f>191</f>
        <v>191</v>
      </c>
      <c r="H120" s="15">
        <f t="shared" si="2"/>
        <v>1.9100000000000001</v>
      </c>
      <c r="I120" s="16">
        <v>0.004</v>
      </c>
      <c r="J120" s="16">
        <f t="shared" si="3"/>
        <v>0.764</v>
      </c>
      <c r="K120" s="19" t="s">
        <v>18</v>
      </c>
      <c r="U120" s="2"/>
    </row>
    <row r="121" spans="1:21" s="1" customFormat="1" ht="12.75">
      <c r="A121" s="11">
        <v>741</v>
      </c>
      <c r="B121" s="12" t="s">
        <v>267</v>
      </c>
      <c r="C121" s="12" t="s">
        <v>233</v>
      </c>
      <c r="D121" s="12" t="s">
        <v>238</v>
      </c>
      <c r="E121" s="12" t="s">
        <v>239</v>
      </c>
      <c r="F121" s="20">
        <v>0.01</v>
      </c>
      <c r="G121" s="14">
        <f>232</f>
        <v>232</v>
      </c>
      <c r="H121" s="15">
        <f t="shared" si="2"/>
        <v>2.32</v>
      </c>
      <c r="I121" s="16">
        <v>0.004</v>
      </c>
      <c r="J121" s="16">
        <f t="shared" si="3"/>
        <v>0.928</v>
      </c>
      <c r="K121" s="19" t="s">
        <v>18</v>
      </c>
      <c r="U121" s="2"/>
    </row>
    <row r="122" spans="1:21" s="1" customFormat="1" ht="12.75">
      <c r="A122" s="11">
        <v>742</v>
      </c>
      <c r="B122" s="12" t="s">
        <v>268</v>
      </c>
      <c r="C122" s="12" t="s">
        <v>233</v>
      </c>
      <c r="D122" s="12" t="s">
        <v>238</v>
      </c>
      <c r="E122" s="12" t="s">
        <v>239</v>
      </c>
      <c r="F122" s="20">
        <v>0.028</v>
      </c>
      <c r="G122" s="14">
        <f>122</f>
        <v>122</v>
      </c>
      <c r="H122" s="15">
        <f t="shared" si="2"/>
        <v>3.416</v>
      </c>
      <c r="I122" s="16">
        <v>0.004</v>
      </c>
      <c r="J122" s="16">
        <f t="shared" si="3"/>
        <v>0.488</v>
      </c>
      <c r="K122" s="19" t="s">
        <v>18</v>
      </c>
      <c r="U122" s="2"/>
    </row>
    <row r="123" spans="1:21" s="1" customFormat="1" ht="25.5">
      <c r="A123" s="11">
        <v>743</v>
      </c>
      <c r="B123" s="12" t="s">
        <v>269</v>
      </c>
      <c r="C123" s="12" t="s">
        <v>233</v>
      </c>
      <c r="D123" s="12" t="s">
        <v>238</v>
      </c>
      <c r="E123" s="12" t="s">
        <v>239</v>
      </c>
      <c r="F123" s="20">
        <v>0.028</v>
      </c>
      <c r="G123" s="14">
        <f>24</f>
        <v>24</v>
      </c>
      <c r="H123" s="15">
        <f t="shared" si="2"/>
        <v>0.672</v>
      </c>
      <c r="I123" s="16">
        <v>0.004</v>
      </c>
      <c r="J123" s="16">
        <f t="shared" si="3"/>
        <v>0.096</v>
      </c>
      <c r="K123" s="19" t="s">
        <v>18</v>
      </c>
      <c r="U123" s="2"/>
    </row>
    <row r="124" spans="1:21" s="1" customFormat="1" ht="25.5">
      <c r="A124" s="11">
        <v>744</v>
      </c>
      <c r="B124" s="12" t="s">
        <v>270</v>
      </c>
      <c r="C124" s="12" t="s">
        <v>233</v>
      </c>
      <c r="D124" s="12" t="s">
        <v>238</v>
      </c>
      <c r="E124" s="12" t="s">
        <v>239</v>
      </c>
      <c r="F124" s="20">
        <v>0.028</v>
      </c>
      <c r="G124" s="14">
        <f>106</f>
        <v>106</v>
      </c>
      <c r="H124" s="15">
        <f t="shared" si="2"/>
        <v>2.968</v>
      </c>
      <c r="I124" s="16">
        <v>0.004</v>
      </c>
      <c r="J124" s="16">
        <f t="shared" si="3"/>
        <v>0.424</v>
      </c>
      <c r="K124" s="19" t="s">
        <v>18</v>
      </c>
      <c r="U124" s="2"/>
    </row>
    <row r="125" spans="1:21" s="1" customFormat="1" ht="25.5">
      <c r="A125" s="11">
        <v>746</v>
      </c>
      <c r="B125" s="12" t="s">
        <v>271</v>
      </c>
      <c r="C125" s="12" t="s">
        <v>233</v>
      </c>
      <c r="D125" s="12" t="s">
        <v>238</v>
      </c>
      <c r="E125" s="12" t="s">
        <v>239</v>
      </c>
      <c r="F125" s="20">
        <v>0.01</v>
      </c>
      <c r="G125" s="14">
        <f>57+24</f>
        <v>81</v>
      </c>
      <c r="H125" s="15">
        <f t="shared" si="2"/>
        <v>0.81</v>
      </c>
      <c r="I125" s="16">
        <v>0.004</v>
      </c>
      <c r="J125" s="16">
        <f t="shared" si="3"/>
        <v>0.324</v>
      </c>
      <c r="K125" s="19" t="s">
        <v>18</v>
      </c>
      <c r="U125" s="2"/>
    </row>
    <row r="126" spans="1:21" s="1" customFormat="1" ht="25.5">
      <c r="A126" s="11">
        <v>747</v>
      </c>
      <c r="B126" s="12" t="s">
        <v>272</v>
      </c>
      <c r="C126" s="12" t="s">
        <v>233</v>
      </c>
      <c r="D126" s="12" t="s">
        <v>238</v>
      </c>
      <c r="E126" s="12" t="s">
        <v>239</v>
      </c>
      <c r="F126" s="20">
        <v>0.028</v>
      </c>
      <c r="G126" s="14">
        <f>25</f>
        <v>25</v>
      </c>
      <c r="H126" s="15">
        <f t="shared" si="2"/>
        <v>0.7000000000000001</v>
      </c>
      <c r="I126" s="16">
        <v>0.004</v>
      </c>
      <c r="J126" s="16">
        <f t="shared" si="3"/>
        <v>0.1</v>
      </c>
      <c r="K126" s="19" t="s">
        <v>18</v>
      </c>
      <c r="U126" s="2"/>
    </row>
    <row r="127" spans="1:21" s="1" customFormat="1" ht="12.75">
      <c r="A127" s="11">
        <v>748</v>
      </c>
      <c r="B127" s="12" t="s">
        <v>273</v>
      </c>
      <c r="C127" s="12" t="s">
        <v>233</v>
      </c>
      <c r="D127" s="12" t="s">
        <v>238</v>
      </c>
      <c r="E127" s="12" t="s">
        <v>239</v>
      </c>
      <c r="F127" s="20">
        <v>0.01</v>
      </c>
      <c r="G127" s="14">
        <f>439+35</f>
        <v>474</v>
      </c>
      <c r="H127" s="15">
        <f t="shared" si="2"/>
        <v>4.74</v>
      </c>
      <c r="I127" s="16">
        <v>0.004</v>
      </c>
      <c r="J127" s="16">
        <f t="shared" si="3"/>
        <v>1.8960000000000001</v>
      </c>
      <c r="K127" s="19" t="s">
        <v>18</v>
      </c>
      <c r="U127" s="2"/>
    </row>
    <row r="128" spans="1:21" s="1" customFormat="1" ht="25.5">
      <c r="A128" s="11">
        <v>749</v>
      </c>
      <c r="B128" s="12" t="s">
        <v>271</v>
      </c>
      <c r="C128" s="12" t="s">
        <v>233</v>
      </c>
      <c r="D128" s="12" t="s">
        <v>238</v>
      </c>
      <c r="E128" s="12" t="s">
        <v>239</v>
      </c>
      <c r="F128" s="20">
        <v>0.01</v>
      </c>
      <c r="G128" s="14">
        <f>126+57</f>
        <v>183</v>
      </c>
      <c r="H128" s="15">
        <f t="shared" si="2"/>
        <v>1.83</v>
      </c>
      <c r="I128" s="16">
        <v>0.004</v>
      </c>
      <c r="J128" s="16">
        <f t="shared" si="3"/>
        <v>0.732</v>
      </c>
      <c r="K128" s="19" t="s">
        <v>18</v>
      </c>
      <c r="U128" s="2"/>
    </row>
    <row r="129" spans="1:21" s="1" customFormat="1" ht="12.75">
      <c r="A129" s="11">
        <v>752</v>
      </c>
      <c r="B129" s="12" t="s">
        <v>263</v>
      </c>
      <c r="C129" s="12" t="s">
        <v>233</v>
      </c>
      <c r="D129" s="12" t="s">
        <v>238</v>
      </c>
      <c r="E129" s="12" t="s">
        <v>239</v>
      </c>
      <c r="F129" s="20">
        <v>0.03</v>
      </c>
      <c r="G129" s="14">
        <f>77+20</f>
        <v>97</v>
      </c>
      <c r="H129" s="15">
        <f t="shared" si="2"/>
        <v>2.9099999999999997</v>
      </c>
      <c r="I129" s="16">
        <v>0.004</v>
      </c>
      <c r="J129" s="16">
        <f t="shared" si="3"/>
        <v>0.388</v>
      </c>
      <c r="K129" s="19" t="s">
        <v>18</v>
      </c>
      <c r="U129" s="2"/>
    </row>
    <row r="130" spans="1:21" s="1" customFormat="1" ht="12.75">
      <c r="A130" s="11">
        <v>753</v>
      </c>
      <c r="B130" s="12" t="s">
        <v>263</v>
      </c>
      <c r="C130" s="12" t="s">
        <v>233</v>
      </c>
      <c r="D130" s="12" t="s">
        <v>238</v>
      </c>
      <c r="E130" s="12" t="s">
        <v>239</v>
      </c>
      <c r="F130" s="20">
        <v>0.01</v>
      </c>
      <c r="G130" s="14">
        <f>579+44</f>
        <v>623</v>
      </c>
      <c r="H130" s="15">
        <f t="shared" si="2"/>
        <v>6.23</v>
      </c>
      <c r="I130" s="16">
        <v>0.004</v>
      </c>
      <c r="J130" s="16">
        <f t="shared" si="3"/>
        <v>2.492</v>
      </c>
      <c r="K130" s="19" t="s">
        <v>18</v>
      </c>
      <c r="U130" s="2"/>
    </row>
    <row r="131" spans="1:21" s="1" customFormat="1" ht="12.75">
      <c r="A131" s="11">
        <v>756</v>
      </c>
      <c r="B131" s="12" t="s">
        <v>274</v>
      </c>
      <c r="C131" s="12" t="s">
        <v>233</v>
      </c>
      <c r="D131" s="12" t="s">
        <v>238</v>
      </c>
      <c r="E131" s="12" t="s">
        <v>239</v>
      </c>
      <c r="F131" s="20">
        <v>0.01</v>
      </c>
      <c r="G131" s="14">
        <f>145+49</f>
        <v>194</v>
      </c>
      <c r="H131" s="15">
        <f t="shared" si="2"/>
        <v>1.94</v>
      </c>
      <c r="I131" s="16">
        <v>0.004</v>
      </c>
      <c r="J131" s="16">
        <f t="shared" si="3"/>
        <v>0.776</v>
      </c>
      <c r="K131" s="19" t="s">
        <v>18</v>
      </c>
      <c r="U131" s="2"/>
    </row>
    <row r="132" spans="1:21" s="1" customFormat="1" ht="25.5">
      <c r="A132" s="11">
        <v>757</v>
      </c>
      <c r="B132" s="12" t="s">
        <v>275</v>
      </c>
      <c r="C132" s="12" t="s">
        <v>233</v>
      </c>
      <c r="D132" s="12" t="s">
        <v>238</v>
      </c>
      <c r="E132" s="12" t="s">
        <v>239</v>
      </c>
      <c r="F132" s="20">
        <v>0.03</v>
      </c>
      <c r="G132" s="14">
        <f>370+42</f>
        <v>412</v>
      </c>
      <c r="H132" s="15">
        <f aca="true" t="shared" si="4" ref="H132:H195">G132*F132</f>
        <v>12.36</v>
      </c>
      <c r="I132" s="16">
        <v>0.004</v>
      </c>
      <c r="J132" s="16">
        <f aca="true" t="shared" si="5" ref="J132:J195">G132*I132</f>
        <v>1.6480000000000001</v>
      </c>
      <c r="K132" s="19" t="s">
        <v>18</v>
      </c>
      <c r="U132" s="2"/>
    </row>
    <row r="133" spans="1:21" s="1" customFormat="1" ht="12.75">
      <c r="A133" s="11">
        <v>759</v>
      </c>
      <c r="B133" s="12" t="s">
        <v>276</v>
      </c>
      <c r="C133" s="12" t="s">
        <v>233</v>
      </c>
      <c r="D133" s="12" t="s">
        <v>238</v>
      </c>
      <c r="E133" s="12" t="s">
        <v>239</v>
      </c>
      <c r="F133" s="20">
        <v>0.01</v>
      </c>
      <c r="G133" s="14">
        <f>18</f>
        <v>18</v>
      </c>
      <c r="H133" s="15">
        <f t="shared" si="4"/>
        <v>0.18</v>
      </c>
      <c r="I133" s="16">
        <v>0.004</v>
      </c>
      <c r="J133" s="16">
        <f t="shared" si="5"/>
        <v>0.07200000000000001</v>
      </c>
      <c r="K133" s="19" t="s">
        <v>18</v>
      </c>
      <c r="U133" s="2"/>
    </row>
    <row r="134" spans="1:21" s="1" customFormat="1" ht="12.75">
      <c r="A134" s="11">
        <v>760</v>
      </c>
      <c r="B134" s="12" t="s">
        <v>277</v>
      </c>
      <c r="C134" s="12" t="s">
        <v>233</v>
      </c>
      <c r="D134" s="12" t="s">
        <v>238</v>
      </c>
      <c r="E134" s="12" t="s">
        <v>239</v>
      </c>
      <c r="F134" s="20">
        <v>0.01</v>
      </c>
      <c r="G134" s="14">
        <f>39+20</f>
        <v>59</v>
      </c>
      <c r="H134" s="15">
        <f t="shared" si="4"/>
        <v>0.59</v>
      </c>
      <c r="I134" s="16">
        <v>0.004</v>
      </c>
      <c r="J134" s="16">
        <f t="shared" si="5"/>
        <v>0.23600000000000002</v>
      </c>
      <c r="K134" s="19" t="s">
        <v>18</v>
      </c>
      <c r="U134" s="2"/>
    </row>
    <row r="135" spans="1:21" s="1" customFormat="1" ht="51">
      <c r="A135" s="11">
        <v>776</v>
      </c>
      <c r="B135" s="12" t="s">
        <v>278</v>
      </c>
      <c r="C135" s="12" t="s">
        <v>279</v>
      </c>
      <c r="D135" s="12" t="s">
        <v>280</v>
      </c>
      <c r="E135" s="12" t="s">
        <v>281</v>
      </c>
      <c r="F135" s="20">
        <v>4.2</v>
      </c>
      <c r="G135" s="14">
        <f>10</f>
        <v>10</v>
      </c>
      <c r="H135" s="15">
        <f t="shared" si="4"/>
        <v>42</v>
      </c>
      <c r="I135" s="16">
        <v>0.5880000000000001</v>
      </c>
      <c r="J135" s="16">
        <f t="shared" si="5"/>
        <v>5.880000000000001</v>
      </c>
      <c r="K135" s="19" t="s">
        <v>18</v>
      </c>
      <c r="U135" s="2"/>
    </row>
    <row r="136" spans="1:21" s="1" customFormat="1" ht="51">
      <c r="A136" s="11">
        <v>777</v>
      </c>
      <c r="B136" s="12" t="s">
        <v>278</v>
      </c>
      <c r="C136" s="12" t="s">
        <v>279</v>
      </c>
      <c r="D136" s="12" t="s">
        <v>280</v>
      </c>
      <c r="E136" s="12" t="s">
        <v>282</v>
      </c>
      <c r="F136" s="20">
        <v>4.2</v>
      </c>
      <c r="G136" s="14">
        <f>10</f>
        <v>10</v>
      </c>
      <c r="H136" s="15">
        <f t="shared" si="4"/>
        <v>42</v>
      </c>
      <c r="I136" s="16">
        <v>0.5880000000000001</v>
      </c>
      <c r="J136" s="16">
        <f t="shared" si="5"/>
        <v>5.880000000000001</v>
      </c>
      <c r="K136" s="19" t="s">
        <v>18</v>
      </c>
      <c r="U136" s="2"/>
    </row>
    <row r="137" spans="1:21" s="1" customFormat="1" ht="51">
      <c r="A137" s="11">
        <v>778</v>
      </c>
      <c r="B137" s="12" t="s">
        <v>283</v>
      </c>
      <c r="C137" s="12" t="s">
        <v>279</v>
      </c>
      <c r="D137" s="12" t="s">
        <v>280</v>
      </c>
      <c r="E137" s="12" t="s">
        <v>281</v>
      </c>
      <c r="F137" s="20">
        <v>4.8</v>
      </c>
      <c r="G137" s="14">
        <f>8</f>
        <v>8</v>
      </c>
      <c r="H137" s="15">
        <f t="shared" si="4"/>
        <v>38.4</v>
      </c>
      <c r="I137" s="16">
        <v>0.6719999999999999</v>
      </c>
      <c r="J137" s="16">
        <f t="shared" si="5"/>
        <v>5.3759999999999994</v>
      </c>
      <c r="K137" s="19" t="s">
        <v>18</v>
      </c>
      <c r="U137" s="2"/>
    </row>
    <row r="138" spans="1:21" s="1" customFormat="1" ht="12.75">
      <c r="A138" s="11">
        <v>780</v>
      </c>
      <c r="B138" s="12" t="s">
        <v>284</v>
      </c>
      <c r="C138" s="12" t="s">
        <v>279</v>
      </c>
      <c r="D138" s="12" t="s">
        <v>285</v>
      </c>
      <c r="E138" s="12" t="s">
        <v>281</v>
      </c>
      <c r="F138" s="20">
        <v>4.2</v>
      </c>
      <c r="G138" s="14">
        <f>10</f>
        <v>10</v>
      </c>
      <c r="H138" s="15">
        <f t="shared" si="4"/>
        <v>42</v>
      </c>
      <c r="I138" s="16">
        <v>0.5880000000000001</v>
      </c>
      <c r="J138" s="16">
        <f t="shared" si="5"/>
        <v>5.880000000000001</v>
      </c>
      <c r="K138" s="19" t="s">
        <v>18</v>
      </c>
      <c r="U138" s="2"/>
    </row>
    <row r="139" spans="1:21" s="1" customFormat="1" ht="12.75">
      <c r="A139" s="11">
        <v>781</v>
      </c>
      <c r="B139" s="12" t="s">
        <v>284</v>
      </c>
      <c r="C139" s="12" t="s">
        <v>279</v>
      </c>
      <c r="D139" s="12" t="s">
        <v>285</v>
      </c>
      <c r="E139" s="12" t="s">
        <v>282</v>
      </c>
      <c r="F139" s="20">
        <v>4.2</v>
      </c>
      <c r="G139" s="14">
        <f>30</f>
        <v>30</v>
      </c>
      <c r="H139" s="15">
        <f t="shared" si="4"/>
        <v>126</v>
      </c>
      <c r="I139" s="16">
        <v>0.5880000000000001</v>
      </c>
      <c r="J139" s="16">
        <f t="shared" si="5"/>
        <v>17.64</v>
      </c>
      <c r="K139" s="19" t="s">
        <v>18</v>
      </c>
      <c r="U139" s="2"/>
    </row>
    <row r="140" spans="1:21" s="1" customFormat="1" ht="12.75">
      <c r="A140" s="11">
        <v>809</v>
      </c>
      <c r="B140" s="12" t="s">
        <v>284</v>
      </c>
      <c r="C140" s="12" t="s">
        <v>279</v>
      </c>
      <c r="D140" s="12" t="s">
        <v>285</v>
      </c>
      <c r="E140" s="12" t="s">
        <v>286</v>
      </c>
      <c r="F140" s="13">
        <v>4.2</v>
      </c>
      <c r="G140" s="14">
        <f>14</f>
        <v>14</v>
      </c>
      <c r="H140" s="15">
        <f t="shared" si="4"/>
        <v>58.800000000000004</v>
      </c>
      <c r="I140" s="16">
        <v>0.5880000000000001</v>
      </c>
      <c r="J140" s="16">
        <f t="shared" si="5"/>
        <v>8.232000000000001</v>
      </c>
      <c r="K140" s="19" t="s">
        <v>18</v>
      </c>
      <c r="U140" s="2"/>
    </row>
    <row r="141" spans="1:21" s="1" customFormat="1" ht="51">
      <c r="A141" s="11">
        <v>810</v>
      </c>
      <c r="B141" s="12" t="s">
        <v>283</v>
      </c>
      <c r="C141" s="12" t="s">
        <v>279</v>
      </c>
      <c r="D141" s="12" t="s">
        <v>280</v>
      </c>
      <c r="E141" s="12" t="s">
        <v>286</v>
      </c>
      <c r="F141" s="20">
        <v>4.8</v>
      </c>
      <c r="G141" s="14">
        <f>10</f>
        <v>10</v>
      </c>
      <c r="H141" s="15">
        <f t="shared" si="4"/>
        <v>48</v>
      </c>
      <c r="I141" s="16">
        <v>0.6719999999999999</v>
      </c>
      <c r="J141" s="16">
        <f t="shared" si="5"/>
        <v>6.719999999999999</v>
      </c>
      <c r="K141" s="19" t="s">
        <v>18</v>
      </c>
      <c r="U141" s="2"/>
    </row>
    <row r="142" spans="1:21" s="1" customFormat="1" ht="51">
      <c r="A142" s="11">
        <v>811</v>
      </c>
      <c r="B142" s="12" t="s">
        <v>287</v>
      </c>
      <c r="C142" s="12" t="s">
        <v>279</v>
      </c>
      <c r="D142" s="12" t="s">
        <v>280</v>
      </c>
      <c r="E142" s="12" t="s">
        <v>286</v>
      </c>
      <c r="F142" s="20">
        <v>6</v>
      </c>
      <c r="G142" s="14">
        <f>60+40</f>
        <v>100</v>
      </c>
      <c r="H142" s="15">
        <f t="shared" si="4"/>
        <v>600</v>
      </c>
      <c r="I142" s="16">
        <v>0.84</v>
      </c>
      <c r="J142" s="16">
        <f t="shared" si="5"/>
        <v>84</v>
      </c>
      <c r="K142" s="19" t="s">
        <v>18</v>
      </c>
      <c r="U142" s="2"/>
    </row>
    <row r="143" spans="1:21" s="1" customFormat="1" ht="25.5">
      <c r="A143" s="11">
        <v>848</v>
      </c>
      <c r="B143" s="12" t="s">
        <v>288</v>
      </c>
      <c r="C143" s="12" t="s">
        <v>279</v>
      </c>
      <c r="D143" s="12" t="s">
        <v>289</v>
      </c>
      <c r="E143" s="12" t="s">
        <v>281</v>
      </c>
      <c r="F143" s="20">
        <v>8.04</v>
      </c>
      <c r="G143" s="14">
        <f>4</f>
        <v>4</v>
      </c>
      <c r="H143" s="15">
        <f t="shared" si="4"/>
        <v>32.16</v>
      </c>
      <c r="I143" s="16">
        <v>1.1256</v>
      </c>
      <c r="J143" s="16">
        <f t="shared" si="5"/>
        <v>4.5024</v>
      </c>
      <c r="K143" s="19" t="s">
        <v>18</v>
      </c>
      <c r="U143" s="2"/>
    </row>
    <row r="144" spans="1:21" s="1" customFormat="1" ht="25.5">
      <c r="A144" s="11">
        <v>850</v>
      </c>
      <c r="B144" s="12" t="s">
        <v>288</v>
      </c>
      <c r="C144" s="12" t="s">
        <v>279</v>
      </c>
      <c r="D144" s="12" t="s">
        <v>289</v>
      </c>
      <c r="E144" s="12" t="s">
        <v>286</v>
      </c>
      <c r="F144" s="20">
        <v>8.04</v>
      </c>
      <c r="G144" s="14">
        <f>3-2</f>
        <v>1</v>
      </c>
      <c r="H144" s="15">
        <f t="shared" si="4"/>
        <v>8.04</v>
      </c>
      <c r="I144" s="16">
        <v>1.1256</v>
      </c>
      <c r="J144" s="16">
        <f t="shared" si="5"/>
        <v>1.1256</v>
      </c>
      <c r="K144" s="19" t="s">
        <v>18</v>
      </c>
      <c r="U144" s="2"/>
    </row>
    <row r="145" spans="1:21" s="1" customFormat="1" ht="25.5">
      <c r="A145" s="11">
        <v>981</v>
      </c>
      <c r="B145" s="12" t="s">
        <v>290</v>
      </c>
      <c r="C145" s="12" t="s">
        <v>233</v>
      </c>
      <c r="D145" s="12" t="s">
        <v>291</v>
      </c>
      <c r="E145" s="12" t="s">
        <v>292</v>
      </c>
      <c r="F145" s="20">
        <v>2.8</v>
      </c>
      <c r="G145" s="14">
        <v>48</v>
      </c>
      <c r="H145" s="15">
        <f t="shared" si="4"/>
        <v>134.39999999999998</v>
      </c>
      <c r="I145" s="16">
        <v>0.392</v>
      </c>
      <c r="J145" s="16">
        <f t="shared" si="5"/>
        <v>18.816000000000003</v>
      </c>
      <c r="K145" s="19" t="s">
        <v>18</v>
      </c>
      <c r="U145" s="2"/>
    </row>
    <row r="146" spans="1:21" s="1" customFormat="1" ht="12.75">
      <c r="A146" s="11">
        <v>984</v>
      </c>
      <c r="B146" s="12" t="s">
        <v>293</v>
      </c>
      <c r="C146" s="12" t="s">
        <v>233</v>
      </c>
      <c r="D146" s="12" t="s">
        <v>234</v>
      </c>
      <c r="E146" s="12" t="s">
        <v>294</v>
      </c>
      <c r="F146" s="20">
        <v>2.5</v>
      </c>
      <c r="G146" s="14">
        <f>12</f>
        <v>12</v>
      </c>
      <c r="H146" s="15">
        <f t="shared" si="4"/>
        <v>30</v>
      </c>
      <c r="I146" s="16">
        <v>0.35</v>
      </c>
      <c r="J146" s="16">
        <f t="shared" si="5"/>
        <v>4.199999999999999</v>
      </c>
      <c r="K146" s="19" t="s">
        <v>18</v>
      </c>
      <c r="U146" s="2"/>
    </row>
    <row r="147" spans="1:21" s="1" customFormat="1" ht="12.75">
      <c r="A147" s="11">
        <v>985</v>
      </c>
      <c r="B147" s="12" t="s">
        <v>295</v>
      </c>
      <c r="C147" s="12" t="s">
        <v>233</v>
      </c>
      <c r="D147" s="12" t="s">
        <v>234</v>
      </c>
      <c r="E147" s="12" t="s">
        <v>294</v>
      </c>
      <c r="F147" s="20">
        <v>2.5</v>
      </c>
      <c r="G147" s="14">
        <f>17</f>
        <v>17</v>
      </c>
      <c r="H147" s="15">
        <f t="shared" si="4"/>
        <v>42.5</v>
      </c>
      <c r="I147" s="16">
        <v>0.35</v>
      </c>
      <c r="J147" s="16">
        <f t="shared" si="5"/>
        <v>5.949999999999999</v>
      </c>
      <c r="K147" s="19" t="s">
        <v>18</v>
      </c>
      <c r="U147" s="2"/>
    </row>
    <row r="148" spans="1:21" s="1" customFormat="1" ht="12.75">
      <c r="A148" s="11">
        <v>986</v>
      </c>
      <c r="B148" s="12" t="s">
        <v>296</v>
      </c>
      <c r="C148" s="12" t="s">
        <v>233</v>
      </c>
      <c r="D148" s="12" t="s">
        <v>234</v>
      </c>
      <c r="E148" s="12" t="s">
        <v>294</v>
      </c>
      <c r="F148" s="20">
        <v>2.5</v>
      </c>
      <c r="G148" s="14">
        <f>60+40+60+27</f>
        <v>187</v>
      </c>
      <c r="H148" s="15">
        <f t="shared" si="4"/>
        <v>467.5</v>
      </c>
      <c r="I148" s="16">
        <v>0.35</v>
      </c>
      <c r="J148" s="16">
        <f t="shared" si="5"/>
        <v>65.45</v>
      </c>
      <c r="K148" s="19" t="s">
        <v>18</v>
      </c>
      <c r="U148" s="2"/>
    </row>
    <row r="149" spans="1:21" s="1" customFormat="1" ht="12.75">
      <c r="A149" s="11">
        <v>1025</v>
      </c>
      <c r="B149" s="14" t="s">
        <v>297</v>
      </c>
      <c r="C149" s="12" t="s">
        <v>233</v>
      </c>
      <c r="D149" s="12" t="s">
        <v>234</v>
      </c>
      <c r="E149" s="12" t="s">
        <v>235</v>
      </c>
      <c r="F149" s="13">
        <v>0.73</v>
      </c>
      <c r="G149" s="14">
        <f>68+19</f>
        <v>87</v>
      </c>
      <c r="H149" s="15">
        <f t="shared" si="4"/>
        <v>63.51</v>
      </c>
      <c r="I149" s="16">
        <v>0.1022</v>
      </c>
      <c r="J149" s="16">
        <f t="shared" si="5"/>
        <v>8.891399999999999</v>
      </c>
      <c r="K149" s="19" t="s">
        <v>18</v>
      </c>
      <c r="U149" s="2"/>
    </row>
    <row r="150" spans="1:21" s="1" customFormat="1" ht="12.75">
      <c r="A150" s="11">
        <v>1027</v>
      </c>
      <c r="B150" s="14" t="s">
        <v>298</v>
      </c>
      <c r="C150" s="12" t="s">
        <v>233</v>
      </c>
      <c r="D150" s="12" t="s">
        <v>234</v>
      </c>
      <c r="E150" s="12" t="s">
        <v>235</v>
      </c>
      <c r="F150" s="13">
        <v>1.06</v>
      </c>
      <c r="G150" s="14">
        <f>18</f>
        <v>18</v>
      </c>
      <c r="H150" s="15">
        <f t="shared" si="4"/>
        <v>19.080000000000002</v>
      </c>
      <c r="I150" s="16">
        <v>0.1484</v>
      </c>
      <c r="J150" s="16">
        <f t="shared" si="5"/>
        <v>2.6712000000000002</v>
      </c>
      <c r="K150" s="19" t="s">
        <v>18</v>
      </c>
      <c r="U150" s="2"/>
    </row>
    <row r="151" spans="1:21" s="1" customFormat="1" ht="12.75">
      <c r="A151" s="11">
        <v>1029</v>
      </c>
      <c r="B151" s="14" t="s">
        <v>299</v>
      </c>
      <c r="C151" s="12" t="s">
        <v>233</v>
      </c>
      <c r="D151" s="12" t="s">
        <v>234</v>
      </c>
      <c r="E151" s="12" t="s">
        <v>235</v>
      </c>
      <c r="F151" s="20">
        <v>0.73</v>
      </c>
      <c r="G151" s="14">
        <f>10</f>
        <v>10</v>
      </c>
      <c r="H151" s="15">
        <f t="shared" si="4"/>
        <v>7.3</v>
      </c>
      <c r="I151" s="16">
        <v>0.1022</v>
      </c>
      <c r="J151" s="16">
        <f t="shared" si="5"/>
        <v>1.022</v>
      </c>
      <c r="K151" s="19" t="s">
        <v>18</v>
      </c>
      <c r="U151" s="2"/>
    </row>
    <row r="152" spans="1:21" s="1" customFormat="1" ht="12.75">
      <c r="A152" s="11">
        <v>1030</v>
      </c>
      <c r="B152" s="12" t="s">
        <v>300</v>
      </c>
      <c r="C152" s="12" t="s">
        <v>233</v>
      </c>
      <c r="D152" s="12" t="s">
        <v>234</v>
      </c>
      <c r="E152" s="12" t="s">
        <v>301</v>
      </c>
      <c r="F152" s="13">
        <v>10.5</v>
      </c>
      <c r="G152" s="14">
        <v>20</v>
      </c>
      <c r="H152" s="15">
        <f t="shared" si="4"/>
        <v>210</v>
      </c>
      <c r="I152" s="16">
        <v>1.05</v>
      </c>
      <c r="J152" s="16">
        <f t="shared" si="5"/>
        <v>21</v>
      </c>
      <c r="K152" s="19" t="s">
        <v>18</v>
      </c>
      <c r="U152" s="2"/>
    </row>
    <row r="153" spans="1:21" s="1" customFormat="1" ht="12.75">
      <c r="A153" s="11">
        <v>1034</v>
      </c>
      <c r="B153" s="14" t="s">
        <v>302</v>
      </c>
      <c r="C153" s="12" t="s">
        <v>233</v>
      </c>
      <c r="D153" s="12" t="s">
        <v>234</v>
      </c>
      <c r="E153" s="12" t="s">
        <v>301</v>
      </c>
      <c r="F153" s="13">
        <v>10.5</v>
      </c>
      <c r="G153" s="14">
        <v>57</v>
      </c>
      <c r="H153" s="15">
        <f t="shared" si="4"/>
        <v>598.5</v>
      </c>
      <c r="I153" s="16">
        <v>1.05</v>
      </c>
      <c r="J153" s="16">
        <f t="shared" si="5"/>
        <v>59.85</v>
      </c>
      <c r="K153" s="19" t="s">
        <v>18</v>
      </c>
      <c r="U153" s="2"/>
    </row>
    <row r="154" spans="1:21" s="1" customFormat="1" ht="12.75">
      <c r="A154" s="11">
        <v>1035</v>
      </c>
      <c r="B154" s="14" t="s">
        <v>303</v>
      </c>
      <c r="C154" s="12" t="s">
        <v>233</v>
      </c>
      <c r="D154" s="12" t="s">
        <v>234</v>
      </c>
      <c r="E154" s="12" t="s">
        <v>301</v>
      </c>
      <c r="F154" s="13">
        <v>10.5</v>
      </c>
      <c r="G154" s="14">
        <f>19</f>
        <v>19</v>
      </c>
      <c r="H154" s="15">
        <f t="shared" si="4"/>
        <v>199.5</v>
      </c>
      <c r="I154" s="16">
        <v>1.05</v>
      </c>
      <c r="J154" s="16">
        <f t="shared" si="5"/>
        <v>19.95</v>
      </c>
      <c r="K154" s="19" t="s">
        <v>18</v>
      </c>
      <c r="U154" s="2"/>
    </row>
    <row r="155" spans="1:21" s="1" customFormat="1" ht="25.5">
      <c r="A155" s="11">
        <v>1106</v>
      </c>
      <c r="B155" s="14" t="s">
        <v>304</v>
      </c>
      <c r="C155" s="12" t="s">
        <v>233</v>
      </c>
      <c r="D155" s="12" t="s">
        <v>291</v>
      </c>
      <c r="E155" s="12" t="s">
        <v>305</v>
      </c>
      <c r="F155" s="13">
        <v>15.4</v>
      </c>
      <c r="G155" s="14">
        <v>2</v>
      </c>
      <c r="H155" s="15">
        <f t="shared" si="4"/>
        <v>30.8</v>
      </c>
      <c r="I155" s="16">
        <v>1.54</v>
      </c>
      <c r="J155" s="16">
        <f t="shared" si="5"/>
        <v>3.08</v>
      </c>
      <c r="K155" s="19" t="s">
        <v>18</v>
      </c>
      <c r="U155" s="2"/>
    </row>
    <row r="156" spans="1:21" s="1" customFormat="1" ht="25.5">
      <c r="A156" s="11">
        <v>1107</v>
      </c>
      <c r="B156" s="14" t="s">
        <v>306</v>
      </c>
      <c r="C156" s="12" t="s">
        <v>233</v>
      </c>
      <c r="D156" s="12" t="s">
        <v>291</v>
      </c>
      <c r="E156" s="12" t="s">
        <v>305</v>
      </c>
      <c r="F156" s="20">
        <v>15.4</v>
      </c>
      <c r="G156" s="14">
        <v>1</v>
      </c>
      <c r="H156" s="15">
        <f t="shared" si="4"/>
        <v>15.4</v>
      </c>
      <c r="I156" s="16">
        <v>1.54</v>
      </c>
      <c r="J156" s="16">
        <f t="shared" si="5"/>
        <v>1.54</v>
      </c>
      <c r="K156" s="19" t="s">
        <v>18</v>
      </c>
      <c r="U156" s="2"/>
    </row>
    <row r="157" spans="1:21" s="1" customFormat="1" ht="25.5">
      <c r="A157" s="11">
        <v>1247</v>
      </c>
      <c r="B157" s="14" t="s">
        <v>307</v>
      </c>
      <c r="C157" s="12" t="s">
        <v>233</v>
      </c>
      <c r="D157" s="12" t="s">
        <v>291</v>
      </c>
      <c r="E157" s="12" t="s">
        <v>308</v>
      </c>
      <c r="F157" s="13">
        <v>18</v>
      </c>
      <c r="G157" s="14">
        <f>5+6</f>
        <v>11</v>
      </c>
      <c r="H157" s="15">
        <f t="shared" si="4"/>
        <v>198</v>
      </c>
      <c r="I157" s="16">
        <v>1.7920000000000003</v>
      </c>
      <c r="J157" s="16">
        <f t="shared" si="5"/>
        <v>19.712000000000003</v>
      </c>
      <c r="K157" s="19" t="s">
        <v>18</v>
      </c>
      <c r="U157" s="2"/>
    </row>
    <row r="158" spans="1:21" s="1" customFormat="1" ht="25.5">
      <c r="A158" s="11">
        <v>1249</v>
      </c>
      <c r="B158" s="14" t="s">
        <v>309</v>
      </c>
      <c r="C158" s="12" t="s">
        <v>233</v>
      </c>
      <c r="D158" s="12" t="s">
        <v>291</v>
      </c>
      <c r="E158" s="12" t="s">
        <v>308</v>
      </c>
      <c r="F158" s="20">
        <v>18</v>
      </c>
      <c r="G158" s="14">
        <f>2</f>
        <v>2</v>
      </c>
      <c r="H158" s="15">
        <f t="shared" si="4"/>
        <v>36</v>
      </c>
      <c r="I158" s="16">
        <v>1.7920000000000003</v>
      </c>
      <c r="J158" s="16">
        <f t="shared" si="5"/>
        <v>3.5840000000000005</v>
      </c>
      <c r="K158" s="19" t="s">
        <v>18</v>
      </c>
      <c r="U158" s="2"/>
    </row>
    <row r="159" spans="1:21" s="1" customFormat="1" ht="12.75">
      <c r="A159" s="11">
        <v>1340</v>
      </c>
      <c r="B159" s="14" t="s">
        <v>310</v>
      </c>
      <c r="C159" s="12" t="s">
        <v>233</v>
      </c>
      <c r="D159" s="12" t="s">
        <v>311</v>
      </c>
      <c r="E159" s="12" t="s">
        <v>312</v>
      </c>
      <c r="F159" s="20">
        <v>0.65</v>
      </c>
      <c r="G159" s="14">
        <f>33-33</f>
        <v>0</v>
      </c>
      <c r="H159" s="15">
        <f t="shared" si="4"/>
        <v>0</v>
      </c>
      <c r="I159" s="16">
        <v>0.05600000000000001</v>
      </c>
      <c r="J159" s="16">
        <f t="shared" si="5"/>
        <v>0</v>
      </c>
      <c r="K159" s="19" t="s">
        <v>18</v>
      </c>
      <c r="U159" s="2"/>
    </row>
    <row r="160" spans="1:21" s="1" customFormat="1" ht="12.75">
      <c r="A160" s="11">
        <v>1341</v>
      </c>
      <c r="B160" s="14" t="s">
        <v>313</v>
      </c>
      <c r="C160" s="12" t="s">
        <v>233</v>
      </c>
      <c r="D160" s="12" t="s">
        <v>311</v>
      </c>
      <c r="E160" s="12" t="s">
        <v>312</v>
      </c>
      <c r="F160" s="20">
        <v>0.65</v>
      </c>
      <c r="G160" s="14">
        <f>55-55</f>
        <v>0</v>
      </c>
      <c r="H160" s="15">
        <f t="shared" si="4"/>
        <v>0</v>
      </c>
      <c r="I160" s="16">
        <v>0.05600000000000001</v>
      </c>
      <c r="J160" s="16">
        <f t="shared" si="5"/>
        <v>0</v>
      </c>
      <c r="K160" s="19" t="s">
        <v>18</v>
      </c>
      <c r="U160" s="2"/>
    </row>
    <row r="161" spans="1:21" s="1" customFormat="1" ht="12.75">
      <c r="A161" s="11">
        <v>1352</v>
      </c>
      <c r="B161" s="14" t="s">
        <v>314</v>
      </c>
      <c r="C161" s="12" t="s">
        <v>233</v>
      </c>
      <c r="D161" s="12" t="s">
        <v>315</v>
      </c>
      <c r="E161" s="12" t="s">
        <v>316</v>
      </c>
      <c r="F161" s="20">
        <v>6</v>
      </c>
      <c r="G161" s="14">
        <v>56</v>
      </c>
      <c r="H161" s="15">
        <f t="shared" si="4"/>
        <v>336</v>
      </c>
      <c r="I161" s="16">
        <v>0.8</v>
      </c>
      <c r="J161" s="16">
        <f t="shared" si="5"/>
        <v>44.800000000000004</v>
      </c>
      <c r="K161" s="19" t="s">
        <v>18</v>
      </c>
      <c r="U161" s="2"/>
    </row>
    <row r="162" spans="1:21" s="1" customFormat="1" ht="25.5">
      <c r="A162" s="11">
        <v>1363</v>
      </c>
      <c r="B162" s="14" t="s">
        <v>317</v>
      </c>
      <c r="C162" s="12" t="s">
        <v>233</v>
      </c>
      <c r="D162" s="12" t="s">
        <v>291</v>
      </c>
      <c r="E162" s="12" t="s">
        <v>318</v>
      </c>
      <c r="F162" s="20">
        <v>0.28</v>
      </c>
      <c r="G162" s="14">
        <v>814</v>
      </c>
      <c r="H162" s="15">
        <f t="shared" si="4"/>
        <v>227.92000000000002</v>
      </c>
      <c r="I162" s="16">
        <v>0.028000000000000004</v>
      </c>
      <c r="J162" s="16">
        <f t="shared" si="5"/>
        <v>22.792</v>
      </c>
      <c r="K162" s="19" t="s">
        <v>18</v>
      </c>
      <c r="U162" s="2"/>
    </row>
    <row r="163" spans="1:21" s="1" customFormat="1" ht="25.5">
      <c r="A163" s="11">
        <v>1372</v>
      </c>
      <c r="B163" s="14" t="s">
        <v>319</v>
      </c>
      <c r="C163" s="12" t="s">
        <v>233</v>
      </c>
      <c r="D163" s="12" t="s">
        <v>291</v>
      </c>
      <c r="E163" s="12" t="s">
        <v>318</v>
      </c>
      <c r="F163" s="20">
        <v>0.28</v>
      </c>
      <c r="G163" s="14">
        <v>700</v>
      </c>
      <c r="H163" s="15">
        <f t="shared" si="4"/>
        <v>196.00000000000003</v>
      </c>
      <c r="I163" s="16">
        <v>0.028000000000000004</v>
      </c>
      <c r="J163" s="16">
        <f t="shared" si="5"/>
        <v>19.6</v>
      </c>
      <c r="K163" s="19" t="s">
        <v>18</v>
      </c>
      <c r="U163" s="2"/>
    </row>
    <row r="164" spans="1:21" s="1" customFormat="1" ht="25.5">
      <c r="A164" s="11">
        <v>1381</v>
      </c>
      <c r="B164" s="14" t="s">
        <v>320</v>
      </c>
      <c r="C164" s="12" t="s">
        <v>233</v>
      </c>
      <c r="D164" s="12" t="s">
        <v>291</v>
      </c>
      <c r="E164" s="12" t="s">
        <v>318</v>
      </c>
      <c r="F164" s="20">
        <v>0.28</v>
      </c>
      <c r="G164" s="14">
        <v>510</v>
      </c>
      <c r="H164" s="15">
        <f t="shared" si="4"/>
        <v>142.8</v>
      </c>
      <c r="I164" s="16">
        <v>0.028000000000000004</v>
      </c>
      <c r="J164" s="16">
        <f t="shared" si="5"/>
        <v>14.280000000000003</v>
      </c>
      <c r="K164" s="19" t="s">
        <v>18</v>
      </c>
      <c r="U164" s="2"/>
    </row>
    <row r="165" spans="1:21" s="1" customFormat="1" ht="25.5">
      <c r="A165" s="11">
        <v>1399</v>
      </c>
      <c r="B165" s="14" t="s">
        <v>321</v>
      </c>
      <c r="C165" s="12" t="s">
        <v>233</v>
      </c>
      <c r="D165" s="12" t="s">
        <v>291</v>
      </c>
      <c r="E165" s="12" t="s">
        <v>305</v>
      </c>
      <c r="F165" s="20">
        <v>12.6</v>
      </c>
      <c r="G165" s="14">
        <v>3</v>
      </c>
      <c r="H165" s="15">
        <f t="shared" si="4"/>
        <v>37.8</v>
      </c>
      <c r="I165" s="16">
        <v>1.26</v>
      </c>
      <c r="J165" s="16">
        <f t="shared" si="5"/>
        <v>3.7800000000000002</v>
      </c>
      <c r="K165" s="19"/>
      <c r="U165" s="2"/>
    </row>
    <row r="166" spans="1:21" s="1" customFormat="1" ht="12.75">
      <c r="A166" s="11">
        <v>1406</v>
      </c>
      <c r="B166" s="14" t="s">
        <v>322</v>
      </c>
      <c r="C166" s="12" t="s">
        <v>233</v>
      </c>
      <c r="D166" s="12" t="s">
        <v>238</v>
      </c>
      <c r="E166" s="12" t="s">
        <v>323</v>
      </c>
      <c r="F166" s="20">
        <v>1.85</v>
      </c>
      <c r="G166" s="14">
        <f>6*130</f>
        <v>780</v>
      </c>
      <c r="H166" s="15">
        <f t="shared" si="4"/>
        <v>1443</v>
      </c>
      <c r="I166" s="16">
        <v>0.3</v>
      </c>
      <c r="J166" s="16">
        <f t="shared" si="5"/>
        <v>234</v>
      </c>
      <c r="K166" s="19" t="s">
        <v>18</v>
      </c>
      <c r="U166" s="2"/>
    </row>
    <row r="167" spans="1:21" s="1" customFormat="1" ht="12.75">
      <c r="A167" s="11">
        <v>1409</v>
      </c>
      <c r="B167" s="14" t="s">
        <v>324</v>
      </c>
      <c r="C167" s="12" t="s">
        <v>233</v>
      </c>
      <c r="D167" s="12" t="s">
        <v>234</v>
      </c>
      <c r="E167" s="12" t="s">
        <v>325</v>
      </c>
      <c r="F167" s="20">
        <v>2.4</v>
      </c>
      <c r="G167" s="14">
        <f>10*43-1</f>
        <v>429</v>
      </c>
      <c r="H167" s="15">
        <f t="shared" si="4"/>
        <v>1029.6</v>
      </c>
      <c r="I167" s="16">
        <v>0.3</v>
      </c>
      <c r="J167" s="16">
        <f t="shared" si="5"/>
        <v>128.7</v>
      </c>
      <c r="K167" s="19" t="s">
        <v>18</v>
      </c>
      <c r="U167" s="2"/>
    </row>
    <row r="168" spans="1:21" s="1" customFormat="1" ht="12.75">
      <c r="A168" s="11">
        <v>1421</v>
      </c>
      <c r="B168" s="14" t="s">
        <v>326</v>
      </c>
      <c r="C168" s="12" t="s">
        <v>233</v>
      </c>
      <c r="D168" s="12" t="s">
        <v>238</v>
      </c>
      <c r="E168" s="12" t="s">
        <v>239</v>
      </c>
      <c r="F168" s="20">
        <v>0.016</v>
      </c>
      <c r="G168" s="14">
        <f>502</f>
        <v>502</v>
      </c>
      <c r="H168" s="15">
        <f t="shared" si="4"/>
        <v>8.032</v>
      </c>
      <c r="I168" s="16">
        <v>0.004</v>
      </c>
      <c r="J168" s="16">
        <f t="shared" si="5"/>
        <v>2.008</v>
      </c>
      <c r="K168" s="19" t="s">
        <v>18</v>
      </c>
      <c r="U168" s="2"/>
    </row>
    <row r="169" spans="1:21" s="1" customFormat="1" ht="12.75">
      <c r="A169" s="11">
        <v>1425</v>
      </c>
      <c r="B169" s="14" t="s">
        <v>327</v>
      </c>
      <c r="C169" s="12" t="s">
        <v>233</v>
      </c>
      <c r="D169" s="12" t="s">
        <v>238</v>
      </c>
      <c r="E169" s="12" t="s">
        <v>239</v>
      </c>
      <c r="F169" s="20">
        <v>0.016</v>
      </c>
      <c r="G169" s="14">
        <f>181</f>
        <v>181</v>
      </c>
      <c r="H169" s="15">
        <f t="shared" si="4"/>
        <v>2.896</v>
      </c>
      <c r="I169" s="16">
        <v>0.004</v>
      </c>
      <c r="J169" s="16">
        <f t="shared" si="5"/>
        <v>0.724</v>
      </c>
      <c r="K169" s="19" t="s">
        <v>18</v>
      </c>
      <c r="U169" s="2"/>
    </row>
    <row r="170" spans="1:21" s="1" customFormat="1" ht="12.75">
      <c r="A170" s="11">
        <v>1430</v>
      </c>
      <c r="B170" s="14" t="s">
        <v>328</v>
      </c>
      <c r="C170" s="12" t="s">
        <v>233</v>
      </c>
      <c r="D170" s="12" t="s">
        <v>238</v>
      </c>
      <c r="E170" s="12" t="s">
        <v>239</v>
      </c>
      <c r="F170" s="20">
        <v>0.016</v>
      </c>
      <c r="G170" s="14">
        <f>1297</f>
        <v>1297</v>
      </c>
      <c r="H170" s="15">
        <f t="shared" si="4"/>
        <v>20.752</v>
      </c>
      <c r="I170" s="16">
        <v>0.004</v>
      </c>
      <c r="J170" s="16">
        <f t="shared" si="5"/>
        <v>5.188</v>
      </c>
      <c r="K170" s="19" t="s">
        <v>18</v>
      </c>
      <c r="U170" s="2"/>
    </row>
    <row r="171" spans="1:21" s="1" customFormat="1" ht="12.75">
      <c r="A171" s="11">
        <v>1436</v>
      </c>
      <c r="B171" s="14" t="s">
        <v>329</v>
      </c>
      <c r="C171" s="12" t="s">
        <v>233</v>
      </c>
      <c r="D171" s="12" t="s">
        <v>238</v>
      </c>
      <c r="E171" s="12" t="s">
        <v>239</v>
      </c>
      <c r="F171" s="20">
        <v>0.016</v>
      </c>
      <c r="G171" s="14">
        <f>63</f>
        <v>63</v>
      </c>
      <c r="H171" s="15">
        <f t="shared" si="4"/>
        <v>1.008</v>
      </c>
      <c r="I171" s="16">
        <v>0.004</v>
      </c>
      <c r="J171" s="16">
        <f t="shared" si="5"/>
        <v>0.252</v>
      </c>
      <c r="K171" s="19" t="s">
        <v>18</v>
      </c>
      <c r="U171" s="2"/>
    </row>
    <row r="172" spans="1:21" s="1" customFormat="1" ht="12.75">
      <c r="A172" s="11">
        <v>1471</v>
      </c>
      <c r="B172" s="14" t="s">
        <v>330</v>
      </c>
      <c r="C172" s="12" t="s">
        <v>233</v>
      </c>
      <c r="D172" s="12" t="s">
        <v>238</v>
      </c>
      <c r="E172" s="12" t="s">
        <v>239</v>
      </c>
      <c r="F172" s="20">
        <v>0.028</v>
      </c>
      <c r="G172" s="14">
        <f>213</f>
        <v>213</v>
      </c>
      <c r="H172" s="15">
        <f t="shared" si="4"/>
        <v>5.964</v>
      </c>
      <c r="I172" s="16">
        <v>0.004</v>
      </c>
      <c r="J172" s="16">
        <f t="shared" si="5"/>
        <v>0.852</v>
      </c>
      <c r="K172" s="19" t="s">
        <v>18</v>
      </c>
      <c r="U172" s="2"/>
    </row>
    <row r="173" spans="1:21" s="1" customFormat="1" ht="12.75">
      <c r="A173" s="11">
        <v>1472</v>
      </c>
      <c r="B173" s="12" t="s">
        <v>331</v>
      </c>
      <c r="C173" s="12" t="s">
        <v>233</v>
      </c>
      <c r="D173" s="12" t="s">
        <v>238</v>
      </c>
      <c r="E173" s="12" t="s">
        <v>239</v>
      </c>
      <c r="F173" s="13">
        <v>0.028</v>
      </c>
      <c r="G173" s="14">
        <f>302</f>
        <v>302</v>
      </c>
      <c r="H173" s="15">
        <f t="shared" si="4"/>
        <v>8.456</v>
      </c>
      <c r="I173" s="16">
        <v>0.004</v>
      </c>
      <c r="J173" s="16">
        <f t="shared" si="5"/>
        <v>1.208</v>
      </c>
      <c r="K173" s="19" t="s">
        <v>18</v>
      </c>
      <c r="U173" s="2"/>
    </row>
    <row r="174" spans="1:21" s="1" customFormat="1" ht="12.75">
      <c r="A174" s="11">
        <v>1473</v>
      </c>
      <c r="B174" s="12" t="s">
        <v>332</v>
      </c>
      <c r="C174" s="12" t="s">
        <v>233</v>
      </c>
      <c r="D174" s="12" t="s">
        <v>238</v>
      </c>
      <c r="E174" s="12" t="s">
        <v>239</v>
      </c>
      <c r="F174" s="13">
        <v>0.016</v>
      </c>
      <c r="G174" s="14">
        <f>122+23</f>
        <v>145</v>
      </c>
      <c r="H174" s="15">
        <f t="shared" si="4"/>
        <v>2.32</v>
      </c>
      <c r="I174" s="16">
        <v>0.004</v>
      </c>
      <c r="J174" s="16">
        <f t="shared" si="5"/>
        <v>0.58</v>
      </c>
      <c r="K174" s="19" t="s">
        <v>18</v>
      </c>
      <c r="U174" s="2"/>
    </row>
    <row r="175" spans="1:21" s="1" customFormat="1" ht="12.75">
      <c r="A175" s="11">
        <v>1474</v>
      </c>
      <c r="B175" s="12" t="s">
        <v>333</v>
      </c>
      <c r="C175" s="12" t="s">
        <v>233</v>
      </c>
      <c r="D175" s="12" t="s">
        <v>238</v>
      </c>
      <c r="E175" s="12" t="s">
        <v>239</v>
      </c>
      <c r="F175" s="13">
        <v>0.028</v>
      </c>
      <c r="G175" s="14">
        <f>204+148</f>
        <v>352</v>
      </c>
      <c r="H175" s="15">
        <f t="shared" si="4"/>
        <v>9.856</v>
      </c>
      <c r="I175" s="16">
        <v>0.004</v>
      </c>
      <c r="J175" s="16">
        <f t="shared" si="5"/>
        <v>1.408</v>
      </c>
      <c r="K175" s="19" t="s">
        <v>18</v>
      </c>
      <c r="U175" s="2"/>
    </row>
    <row r="176" spans="1:21" s="1" customFormat="1" ht="12.75">
      <c r="A176" s="11">
        <v>1475</v>
      </c>
      <c r="B176" s="14" t="s">
        <v>334</v>
      </c>
      <c r="C176" s="12" t="s">
        <v>233</v>
      </c>
      <c r="D176" s="12" t="s">
        <v>238</v>
      </c>
      <c r="E176" s="12" t="s">
        <v>239</v>
      </c>
      <c r="F176" s="20">
        <v>0.016</v>
      </c>
      <c r="G176" s="14">
        <f>430</f>
        <v>430</v>
      </c>
      <c r="H176" s="15">
        <f t="shared" si="4"/>
        <v>6.88</v>
      </c>
      <c r="I176" s="16">
        <v>0.004</v>
      </c>
      <c r="J176" s="16">
        <f t="shared" si="5"/>
        <v>1.72</v>
      </c>
      <c r="K176" s="19" t="s">
        <v>18</v>
      </c>
      <c r="U176" s="2"/>
    </row>
    <row r="177" spans="1:21" s="1" customFormat="1" ht="12.75">
      <c r="A177" s="11">
        <v>1476</v>
      </c>
      <c r="B177" s="14" t="s">
        <v>335</v>
      </c>
      <c r="C177" s="12" t="s">
        <v>233</v>
      </c>
      <c r="D177" s="12" t="s">
        <v>238</v>
      </c>
      <c r="E177" s="12" t="s">
        <v>239</v>
      </c>
      <c r="F177" s="20">
        <v>0.028</v>
      </c>
      <c r="G177" s="14">
        <f>215</f>
        <v>215</v>
      </c>
      <c r="H177" s="15">
        <f t="shared" si="4"/>
        <v>6.0200000000000005</v>
      </c>
      <c r="I177" s="16">
        <v>0.004</v>
      </c>
      <c r="J177" s="16">
        <f t="shared" si="5"/>
        <v>0.86</v>
      </c>
      <c r="K177" s="19" t="s">
        <v>18</v>
      </c>
      <c r="U177" s="2"/>
    </row>
    <row r="178" spans="1:21" s="1" customFormat="1" ht="12.75">
      <c r="A178" s="11">
        <v>1516</v>
      </c>
      <c r="B178" s="14" t="s">
        <v>336</v>
      </c>
      <c r="C178" s="12" t="s">
        <v>233</v>
      </c>
      <c r="D178" s="12" t="s">
        <v>315</v>
      </c>
      <c r="E178" s="12" t="s">
        <v>337</v>
      </c>
      <c r="F178" s="20">
        <v>1.5</v>
      </c>
      <c r="G178" s="14">
        <v>19</v>
      </c>
      <c r="H178" s="15">
        <f t="shared" si="4"/>
        <v>28.5</v>
      </c>
      <c r="I178" s="16">
        <v>0.15</v>
      </c>
      <c r="J178" s="16">
        <f t="shared" si="5"/>
        <v>2.85</v>
      </c>
      <c r="K178" s="19" t="s">
        <v>18</v>
      </c>
      <c r="U178" s="2"/>
    </row>
    <row r="179" spans="1:21" s="1" customFormat="1" ht="12.75">
      <c r="A179" s="11">
        <v>1517</v>
      </c>
      <c r="B179" s="14" t="s">
        <v>338</v>
      </c>
      <c r="C179" s="12" t="s">
        <v>233</v>
      </c>
      <c r="D179" s="12" t="s">
        <v>315</v>
      </c>
      <c r="E179" s="12" t="s">
        <v>337</v>
      </c>
      <c r="F179" s="20">
        <v>1.5</v>
      </c>
      <c r="G179" s="14">
        <v>32</v>
      </c>
      <c r="H179" s="15">
        <f t="shared" si="4"/>
        <v>48</v>
      </c>
      <c r="I179" s="16">
        <v>0.15</v>
      </c>
      <c r="J179" s="16">
        <f t="shared" si="5"/>
        <v>4.8</v>
      </c>
      <c r="K179" s="19" t="s">
        <v>18</v>
      </c>
      <c r="U179" s="2"/>
    </row>
    <row r="180" spans="1:21" s="1" customFormat="1" ht="25.5">
      <c r="A180" s="11">
        <v>1520</v>
      </c>
      <c r="B180" s="14" t="s">
        <v>339</v>
      </c>
      <c r="C180" s="12" t="s">
        <v>233</v>
      </c>
      <c r="D180" s="12" t="s">
        <v>234</v>
      </c>
      <c r="E180" s="12" t="s">
        <v>340</v>
      </c>
      <c r="F180" s="20">
        <v>1.06</v>
      </c>
      <c r="G180" s="14">
        <v>6</v>
      </c>
      <c r="H180" s="15">
        <f t="shared" si="4"/>
        <v>6.36</v>
      </c>
      <c r="I180" s="16">
        <v>0.10600000000000001</v>
      </c>
      <c r="J180" s="16">
        <f t="shared" si="5"/>
        <v>0.6360000000000001</v>
      </c>
      <c r="K180" s="19" t="s">
        <v>18</v>
      </c>
      <c r="U180" s="2"/>
    </row>
    <row r="181" spans="1:21" s="1" customFormat="1" ht="25.5">
      <c r="A181" s="11">
        <v>1521</v>
      </c>
      <c r="B181" s="14" t="s">
        <v>341</v>
      </c>
      <c r="C181" s="12" t="s">
        <v>233</v>
      </c>
      <c r="D181" s="12" t="s">
        <v>234</v>
      </c>
      <c r="E181" s="12" t="s">
        <v>340</v>
      </c>
      <c r="F181" s="20">
        <v>1.06</v>
      </c>
      <c r="G181" s="14">
        <v>9</v>
      </c>
      <c r="H181" s="15">
        <f t="shared" si="4"/>
        <v>9.540000000000001</v>
      </c>
      <c r="I181" s="16">
        <v>0.10600000000000001</v>
      </c>
      <c r="J181" s="16">
        <f t="shared" si="5"/>
        <v>0.9540000000000001</v>
      </c>
      <c r="K181" s="19" t="s">
        <v>18</v>
      </c>
      <c r="U181" s="2"/>
    </row>
    <row r="182" spans="1:21" s="1" customFormat="1" ht="25.5">
      <c r="A182" s="11">
        <v>1609</v>
      </c>
      <c r="B182" s="14" t="s">
        <v>342</v>
      </c>
      <c r="C182" s="12" t="s">
        <v>233</v>
      </c>
      <c r="D182" s="12" t="s">
        <v>291</v>
      </c>
      <c r="E182" s="12" t="s">
        <v>292</v>
      </c>
      <c r="F182" s="13">
        <v>2.8</v>
      </c>
      <c r="G182" s="14">
        <f>94+100</f>
        <v>194</v>
      </c>
      <c r="H182" s="15">
        <f t="shared" si="4"/>
        <v>543.1999999999999</v>
      </c>
      <c r="I182" s="16">
        <v>0.5</v>
      </c>
      <c r="J182" s="16">
        <f t="shared" si="5"/>
        <v>97</v>
      </c>
      <c r="K182" s="19" t="s">
        <v>18</v>
      </c>
      <c r="U182" s="2"/>
    </row>
    <row r="183" spans="1:21" s="1" customFormat="1" ht="12.75">
      <c r="A183" s="11">
        <v>1635</v>
      </c>
      <c r="B183" s="14" t="s">
        <v>343</v>
      </c>
      <c r="C183" s="12" t="s">
        <v>233</v>
      </c>
      <c r="D183" s="12" t="s">
        <v>311</v>
      </c>
      <c r="E183" s="12" t="s">
        <v>312</v>
      </c>
      <c r="F183" s="20">
        <v>0.65</v>
      </c>
      <c r="G183" s="14">
        <v>14</v>
      </c>
      <c r="H183" s="15">
        <f t="shared" si="4"/>
        <v>9.1</v>
      </c>
      <c r="I183" s="16">
        <v>0.065</v>
      </c>
      <c r="J183" s="16">
        <f t="shared" si="5"/>
        <v>0.91</v>
      </c>
      <c r="K183" s="19" t="s">
        <v>18</v>
      </c>
      <c r="U183" s="2"/>
    </row>
    <row r="184" spans="1:21" s="1" customFormat="1" ht="12.75">
      <c r="A184" s="11">
        <v>1683</v>
      </c>
      <c r="B184" s="14" t="s">
        <v>344</v>
      </c>
      <c r="C184" s="12" t="s">
        <v>233</v>
      </c>
      <c r="D184" s="12" t="s">
        <v>234</v>
      </c>
      <c r="E184" s="12" t="s">
        <v>235</v>
      </c>
      <c r="F184" s="20">
        <v>0.8</v>
      </c>
      <c r="G184" s="14">
        <v>1</v>
      </c>
      <c r="H184" s="15">
        <f t="shared" si="4"/>
        <v>0.8</v>
      </c>
      <c r="I184" s="16">
        <v>0.08</v>
      </c>
      <c r="J184" s="16">
        <f t="shared" si="5"/>
        <v>0.08</v>
      </c>
      <c r="K184" s="19" t="s">
        <v>18</v>
      </c>
      <c r="U184" s="2"/>
    </row>
    <row r="185" spans="1:21" s="1" customFormat="1" ht="12.75">
      <c r="A185" s="11">
        <v>1685</v>
      </c>
      <c r="B185" s="14" t="s">
        <v>345</v>
      </c>
      <c r="C185" s="12" t="s">
        <v>233</v>
      </c>
      <c r="D185" s="12" t="s">
        <v>234</v>
      </c>
      <c r="E185" s="12" t="s">
        <v>235</v>
      </c>
      <c r="F185" s="20">
        <v>0.8</v>
      </c>
      <c r="G185" s="14">
        <v>1</v>
      </c>
      <c r="H185" s="15">
        <f t="shared" si="4"/>
        <v>0.8</v>
      </c>
      <c r="I185" s="16">
        <v>0.08</v>
      </c>
      <c r="J185" s="16">
        <f t="shared" si="5"/>
        <v>0.08</v>
      </c>
      <c r="K185" s="19" t="s">
        <v>18</v>
      </c>
      <c r="U185" s="2"/>
    </row>
    <row r="186" spans="1:21" s="1" customFormat="1" ht="12.75">
      <c r="A186" s="11">
        <v>1686</v>
      </c>
      <c r="B186" s="14" t="s">
        <v>346</v>
      </c>
      <c r="C186" s="12" t="s">
        <v>233</v>
      </c>
      <c r="D186" s="12" t="s">
        <v>234</v>
      </c>
      <c r="E186" s="12" t="s">
        <v>235</v>
      </c>
      <c r="F186" s="20">
        <v>0.8</v>
      </c>
      <c r="G186" s="14">
        <v>1</v>
      </c>
      <c r="H186" s="15">
        <f t="shared" si="4"/>
        <v>0.8</v>
      </c>
      <c r="I186" s="16">
        <v>0.08</v>
      </c>
      <c r="J186" s="16">
        <f t="shared" si="5"/>
        <v>0.08</v>
      </c>
      <c r="K186" s="19" t="s">
        <v>18</v>
      </c>
      <c r="U186" s="2"/>
    </row>
    <row r="187" spans="1:21" s="1" customFormat="1" ht="12.75">
      <c r="A187" s="11">
        <v>1687</v>
      </c>
      <c r="B187" s="14" t="s">
        <v>347</v>
      </c>
      <c r="C187" s="12" t="s">
        <v>233</v>
      </c>
      <c r="D187" s="12" t="s">
        <v>234</v>
      </c>
      <c r="E187" s="12" t="s">
        <v>235</v>
      </c>
      <c r="F187" s="20">
        <v>0.8</v>
      </c>
      <c r="G187" s="14">
        <v>1</v>
      </c>
      <c r="H187" s="15">
        <f t="shared" si="4"/>
        <v>0.8</v>
      </c>
      <c r="I187" s="16">
        <v>0.08</v>
      </c>
      <c r="J187" s="16">
        <f t="shared" si="5"/>
        <v>0.08</v>
      </c>
      <c r="K187" s="19" t="s">
        <v>18</v>
      </c>
      <c r="U187" s="2"/>
    </row>
    <row r="188" spans="1:21" s="1" customFormat="1" ht="25.5">
      <c r="A188" s="11">
        <v>1698</v>
      </c>
      <c r="B188" s="14" t="s">
        <v>348</v>
      </c>
      <c r="C188" s="12" t="s">
        <v>233</v>
      </c>
      <c r="D188" s="12" t="s">
        <v>234</v>
      </c>
      <c r="E188" s="12" t="s">
        <v>340</v>
      </c>
      <c r="F188" s="20">
        <v>1.1</v>
      </c>
      <c r="G188" s="14">
        <v>24</v>
      </c>
      <c r="H188" s="15">
        <f t="shared" si="4"/>
        <v>26.400000000000002</v>
      </c>
      <c r="I188" s="16">
        <v>0.11</v>
      </c>
      <c r="J188" s="16">
        <f t="shared" si="5"/>
        <v>2.64</v>
      </c>
      <c r="K188" s="19" t="s">
        <v>18</v>
      </c>
      <c r="U188" s="2"/>
    </row>
    <row r="189" spans="1:21" s="1" customFormat="1" ht="25.5">
      <c r="A189" s="11">
        <v>1699</v>
      </c>
      <c r="B189" s="14" t="s">
        <v>349</v>
      </c>
      <c r="C189" s="12" t="s">
        <v>233</v>
      </c>
      <c r="D189" s="12" t="s">
        <v>234</v>
      </c>
      <c r="E189" s="12" t="s">
        <v>340</v>
      </c>
      <c r="F189" s="20">
        <v>1.1</v>
      </c>
      <c r="G189" s="14">
        <v>21</v>
      </c>
      <c r="H189" s="15">
        <f t="shared" si="4"/>
        <v>23.1</v>
      </c>
      <c r="I189" s="16">
        <v>0.11</v>
      </c>
      <c r="J189" s="16">
        <f t="shared" si="5"/>
        <v>2.31</v>
      </c>
      <c r="K189" s="19" t="s">
        <v>18</v>
      </c>
      <c r="U189" s="2"/>
    </row>
    <row r="190" spans="1:21" s="1" customFormat="1" ht="12.75">
      <c r="A190" s="11">
        <v>1706</v>
      </c>
      <c r="B190" s="12" t="s">
        <v>350</v>
      </c>
      <c r="C190" s="12" t="s">
        <v>233</v>
      </c>
      <c r="D190" s="12" t="s">
        <v>234</v>
      </c>
      <c r="E190" s="12" t="s">
        <v>351</v>
      </c>
      <c r="F190" s="13">
        <v>2.15</v>
      </c>
      <c r="G190" s="14">
        <v>45</v>
      </c>
      <c r="H190" s="15">
        <f t="shared" si="4"/>
        <v>96.75</v>
      </c>
      <c r="I190" s="16">
        <v>0.215</v>
      </c>
      <c r="J190" s="16">
        <f t="shared" si="5"/>
        <v>9.675</v>
      </c>
      <c r="K190" s="19" t="s">
        <v>18</v>
      </c>
      <c r="U190" s="2"/>
    </row>
    <row r="191" spans="1:21" s="1" customFormat="1" ht="25.5">
      <c r="A191" s="11">
        <v>1708</v>
      </c>
      <c r="B191" s="14" t="s">
        <v>352</v>
      </c>
      <c r="C191" s="12" t="s">
        <v>279</v>
      </c>
      <c r="D191" s="12" t="s">
        <v>353</v>
      </c>
      <c r="E191" s="12" t="s">
        <v>281</v>
      </c>
      <c r="F191" s="20">
        <v>5</v>
      </c>
      <c r="G191" s="14">
        <f>21</f>
        <v>21</v>
      </c>
      <c r="H191" s="15">
        <f t="shared" si="4"/>
        <v>105</v>
      </c>
      <c r="I191" s="16">
        <v>0.5</v>
      </c>
      <c r="J191" s="16">
        <f t="shared" si="5"/>
        <v>10.5</v>
      </c>
      <c r="K191" s="19" t="s">
        <v>18</v>
      </c>
      <c r="U191" s="2"/>
    </row>
    <row r="192" spans="1:21" s="1" customFormat="1" ht="25.5">
      <c r="A192" s="11">
        <v>1710</v>
      </c>
      <c r="B192" s="14" t="s">
        <v>352</v>
      </c>
      <c r="C192" s="12" t="s">
        <v>279</v>
      </c>
      <c r="D192" s="12" t="s">
        <v>353</v>
      </c>
      <c r="E192" s="12" t="s">
        <v>354</v>
      </c>
      <c r="F192" s="20">
        <v>5</v>
      </c>
      <c r="G192" s="14">
        <f>1</f>
        <v>1</v>
      </c>
      <c r="H192" s="15">
        <f t="shared" si="4"/>
        <v>5</v>
      </c>
      <c r="I192" s="16">
        <v>0.5</v>
      </c>
      <c r="J192" s="16">
        <f t="shared" si="5"/>
        <v>0.5</v>
      </c>
      <c r="K192" s="19" t="s">
        <v>18</v>
      </c>
      <c r="U192" s="2"/>
    </row>
    <row r="193" spans="1:21" s="1" customFormat="1" ht="25.5">
      <c r="A193" s="11">
        <v>1714</v>
      </c>
      <c r="B193" s="14" t="s">
        <v>352</v>
      </c>
      <c r="C193" s="12" t="s">
        <v>279</v>
      </c>
      <c r="D193" s="12" t="s">
        <v>353</v>
      </c>
      <c r="E193" s="12" t="s">
        <v>355</v>
      </c>
      <c r="F193" s="20">
        <v>5</v>
      </c>
      <c r="G193" s="14">
        <f>31</f>
        <v>31</v>
      </c>
      <c r="H193" s="15">
        <f t="shared" si="4"/>
        <v>155</v>
      </c>
      <c r="I193" s="16">
        <v>0.5</v>
      </c>
      <c r="J193" s="16">
        <f t="shared" si="5"/>
        <v>15.5</v>
      </c>
      <c r="K193" s="19" t="s">
        <v>18</v>
      </c>
      <c r="U193" s="2"/>
    </row>
    <row r="194" spans="1:21" s="1" customFormat="1" ht="25.5">
      <c r="A194" s="11">
        <v>1717</v>
      </c>
      <c r="B194" s="14" t="s">
        <v>352</v>
      </c>
      <c r="C194" s="12" t="s">
        <v>279</v>
      </c>
      <c r="D194" s="12" t="s">
        <v>353</v>
      </c>
      <c r="E194" s="12" t="s">
        <v>356</v>
      </c>
      <c r="F194" s="20">
        <v>5</v>
      </c>
      <c r="G194" s="14">
        <f>2</f>
        <v>2</v>
      </c>
      <c r="H194" s="15">
        <f t="shared" si="4"/>
        <v>10</v>
      </c>
      <c r="I194" s="16">
        <v>0.5</v>
      </c>
      <c r="J194" s="16">
        <f t="shared" si="5"/>
        <v>1</v>
      </c>
      <c r="K194" s="19" t="s">
        <v>18</v>
      </c>
      <c r="U194" s="2"/>
    </row>
    <row r="195" spans="1:21" s="1" customFormat="1" ht="25.5">
      <c r="A195" s="11">
        <v>1721</v>
      </c>
      <c r="B195" s="14" t="s">
        <v>352</v>
      </c>
      <c r="C195" s="12" t="s">
        <v>279</v>
      </c>
      <c r="D195" s="12" t="s">
        <v>353</v>
      </c>
      <c r="E195" s="12" t="s">
        <v>357</v>
      </c>
      <c r="F195" s="20">
        <v>5</v>
      </c>
      <c r="G195" s="14">
        <v>5</v>
      </c>
      <c r="H195" s="15">
        <f t="shared" si="4"/>
        <v>25</v>
      </c>
      <c r="I195" s="16">
        <v>0.5</v>
      </c>
      <c r="J195" s="16">
        <f t="shared" si="5"/>
        <v>2.5</v>
      </c>
      <c r="K195" s="19" t="s">
        <v>18</v>
      </c>
      <c r="U195" s="2"/>
    </row>
    <row r="196" spans="1:21" s="1" customFormat="1" ht="38.25">
      <c r="A196" s="11">
        <v>1750</v>
      </c>
      <c r="B196" s="14" t="s">
        <v>358</v>
      </c>
      <c r="C196" s="12" t="s">
        <v>279</v>
      </c>
      <c r="D196" s="12" t="s">
        <v>359</v>
      </c>
      <c r="E196" s="12" t="s">
        <v>354</v>
      </c>
      <c r="F196" s="20">
        <v>7</v>
      </c>
      <c r="G196" s="14">
        <f>2-2</f>
        <v>0</v>
      </c>
      <c r="H196" s="15">
        <f aca="true" t="shared" si="6" ref="H196:H259">G196*F196</f>
        <v>0</v>
      </c>
      <c r="I196" s="16">
        <v>0.7</v>
      </c>
      <c r="J196" s="16">
        <f aca="true" t="shared" si="7" ref="J196:J259">G196*I196</f>
        <v>0</v>
      </c>
      <c r="K196" s="19" t="s">
        <v>18</v>
      </c>
      <c r="U196" s="2"/>
    </row>
    <row r="197" spans="1:21" s="1" customFormat="1" ht="38.25">
      <c r="A197" s="11">
        <v>1752</v>
      </c>
      <c r="B197" s="14" t="s">
        <v>358</v>
      </c>
      <c r="C197" s="12" t="s">
        <v>279</v>
      </c>
      <c r="D197" s="12" t="s">
        <v>359</v>
      </c>
      <c r="E197" s="12" t="s">
        <v>357</v>
      </c>
      <c r="F197" s="20">
        <v>7</v>
      </c>
      <c r="G197" s="14">
        <f>1-1</f>
        <v>0</v>
      </c>
      <c r="H197" s="15">
        <f t="shared" si="6"/>
        <v>0</v>
      </c>
      <c r="I197" s="16">
        <v>0.7</v>
      </c>
      <c r="J197" s="16">
        <f t="shared" si="7"/>
        <v>0</v>
      </c>
      <c r="K197" s="19" t="s">
        <v>18</v>
      </c>
      <c r="U197" s="2"/>
    </row>
    <row r="198" spans="1:21" s="1" customFormat="1" ht="38.25">
      <c r="A198" s="11">
        <v>1755</v>
      </c>
      <c r="B198" s="14" t="s">
        <v>360</v>
      </c>
      <c r="C198" s="12" t="s">
        <v>279</v>
      </c>
      <c r="D198" s="12" t="s">
        <v>359</v>
      </c>
      <c r="E198" s="12" t="s">
        <v>281</v>
      </c>
      <c r="F198" s="20">
        <v>6</v>
      </c>
      <c r="G198" s="14">
        <f>12</f>
        <v>12</v>
      </c>
      <c r="H198" s="15">
        <f t="shared" si="6"/>
        <v>72</v>
      </c>
      <c r="I198" s="16">
        <v>0.6</v>
      </c>
      <c r="J198" s="16">
        <f t="shared" si="7"/>
        <v>7.199999999999999</v>
      </c>
      <c r="K198" s="19" t="s">
        <v>18</v>
      </c>
      <c r="U198" s="2"/>
    </row>
    <row r="199" spans="1:21" s="1" customFormat="1" ht="38.25">
      <c r="A199" s="11">
        <v>1756</v>
      </c>
      <c r="B199" s="14" t="s">
        <v>360</v>
      </c>
      <c r="C199" s="12" t="s">
        <v>279</v>
      </c>
      <c r="D199" s="12" t="s">
        <v>359</v>
      </c>
      <c r="E199" s="12" t="s">
        <v>282</v>
      </c>
      <c r="F199" s="20">
        <v>6</v>
      </c>
      <c r="G199" s="14">
        <f>6</f>
        <v>6</v>
      </c>
      <c r="H199" s="15">
        <f t="shared" si="6"/>
        <v>36</v>
      </c>
      <c r="I199" s="16">
        <v>0.6</v>
      </c>
      <c r="J199" s="16">
        <f t="shared" si="7"/>
        <v>3.5999999999999996</v>
      </c>
      <c r="K199" s="19" t="s">
        <v>18</v>
      </c>
      <c r="U199" s="2"/>
    </row>
    <row r="200" spans="1:21" s="1" customFormat="1" ht="38.25">
      <c r="A200" s="11">
        <v>1757</v>
      </c>
      <c r="B200" s="14" t="s">
        <v>360</v>
      </c>
      <c r="C200" s="12" t="s">
        <v>279</v>
      </c>
      <c r="D200" s="12" t="s">
        <v>359</v>
      </c>
      <c r="E200" s="12" t="s">
        <v>286</v>
      </c>
      <c r="F200" s="20">
        <v>6</v>
      </c>
      <c r="G200" s="14">
        <f>9</f>
        <v>9</v>
      </c>
      <c r="H200" s="15">
        <f t="shared" si="6"/>
        <v>54</v>
      </c>
      <c r="I200" s="16">
        <v>0.6</v>
      </c>
      <c r="J200" s="16">
        <f t="shared" si="7"/>
        <v>5.3999999999999995</v>
      </c>
      <c r="K200" s="19" t="s">
        <v>18</v>
      </c>
      <c r="U200" s="2"/>
    </row>
    <row r="201" spans="1:21" s="1" customFormat="1" ht="38.25">
      <c r="A201" s="11">
        <v>1758</v>
      </c>
      <c r="B201" s="14" t="s">
        <v>360</v>
      </c>
      <c r="C201" s="12" t="s">
        <v>279</v>
      </c>
      <c r="D201" s="12" t="s">
        <v>359</v>
      </c>
      <c r="E201" s="12" t="s">
        <v>354</v>
      </c>
      <c r="F201" s="20">
        <v>6</v>
      </c>
      <c r="G201" s="14">
        <f>3</f>
        <v>3</v>
      </c>
      <c r="H201" s="15">
        <f t="shared" si="6"/>
        <v>18</v>
      </c>
      <c r="I201" s="16">
        <v>0.6</v>
      </c>
      <c r="J201" s="16">
        <f t="shared" si="7"/>
        <v>1.7999999999999998</v>
      </c>
      <c r="K201" s="19" t="s">
        <v>18</v>
      </c>
      <c r="U201" s="2"/>
    </row>
    <row r="202" spans="1:21" s="1" customFormat="1" ht="38.25">
      <c r="A202" s="11">
        <v>1759</v>
      </c>
      <c r="B202" s="14" t="s">
        <v>360</v>
      </c>
      <c r="C202" s="12" t="s">
        <v>279</v>
      </c>
      <c r="D202" s="12" t="s">
        <v>359</v>
      </c>
      <c r="E202" s="12" t="s">
        <v>361</v>
      </c>
      <c r="F202" s="20">
        <v>6</v>
      </c>
      <c r="G202" s="14">
        <f>20</f>
        <v>20</v>
      </c>
      <c r="H202" s="15">
        <f t="shared" si="6"/>
        <v>120</v>
      </c>
      <c r="I202" s="16">
        <v>0.6</v>
      </c>
      <c r="J202" s="16">
        <f t="shared" si="7"/>
        <v>12</v>
      </c>
      <c r="K202" s="19" t="s">
        <v>18</v>
      </c>
      <c r="U202" s="2"/>
    </row>
    <row r="203" spans="1:21" s="1" customFormat="1" ht="38.25">
      <c r="A203" s="11">
        <v>1760</v>
      </c>
      <c r="B203" s="14" t="s">
        <v>360</v>
      </c>
      <c r="C203" s="12" t="s">
        <v>279</v>
      </c>
      <c r="D203" s="12" t="s">
        <v>359</v>
      </c>
      <c r="E203" s="12" t="s">
        <v>362</v>
      </c>
      <c r="F203" s="20">
        <v>6</v>
      </c>
      <c r="G203" s="14">
        <f>5</f>
        <v>5</v>
      </c>
      <c r="H203" s="15">
        <f t="shared" si="6"/>
        <v>30</v>
      </c>
      <c r="I203" s="16">
        <v>0.6</v>
      </c>
      <c r="J203" s="16">
        <f t="shared" si="7"/>
        <v>3</v>
      </c>
      <c r="K203" s="19" t="s">
        <v>18</v>
      </c>
      <c r="U203" s="2"/>
    </row>
    <row r="204" spans="1:21" s="1" customFormat="1" ht="38.25">
      <c r="A204" s="11">
        <v>1762</v>
      </c>
      <c r="B204" s="14" t="s">
        <v>360</v>
      </c>
      <c r="C204" s="12" t="s">
        <v>279</v>
      </c>
      <c r="D204" s="12" t="s">
        <v>359</v>
      </c>
      <c r="E204" s="12" t="s">
        <v>363</v>
      </c>
      <c r="F204" s="20">
        <v>6</v>
      </c>
      <c r="G204" s="14">
        <f>15</f>
        <v>15</v>
      </c>
      <c r="H204" s="15">
        <f t="shared" si="6"/>
        <v>90</v>
      </c>
      <c r="I204" s="16">
        <v>0.6</v>
      </c>
      <c r="J204" s="16">
        <f t="shared" si="7"/>
        <v>9</v>
      </c>
      <c r="K204" s="19" t="s">
        <v>18</v>
      </c>
      <c r="U204" s="2"/>
    </row>
    <row r="205" spans="1:21" s="1" customFormat="1" ht="38.25">
      <c r="A205" s="11">
        <v>1765</v>
      </c>
      <c r="B205" s="14" t="s">
        <v>360</v>
      </c>
      <c r="C205" s="12" t="s">
        <v>279</v>
      </c>
      <c r="D205" s="12" t="s">
        <v>359</v>
      </c>
      <c r="E205" s="12" t="s">
        <v>364</v>
      </c>
      <c r="F205" s="20">
        <v>6</v>
      </c>
      <c r="G205" s="14">
        <f>3</f>
        <v>3</v>
      </c>
      <c r="H205" s="15">
        <f t="shared" si="6"/>
        <v>18</v>
      </c>
      <c r="I205" s="16">
        <v>0.6</v>
      </c>
      <c r="J205" s="16">
        <f t="shared" si="7"/>
        <v>1.7999999999999998</v>
      </c>
      <c r="K205" s="19" t="s">
        <v>18</v>
      </c>
      <c r="U205" s="2"/>
    </row>
    <row r="206" spans="1:21" s="1" customFormat="1" ht="12.75">
      <c r="A206" s="11">
        <v>1833</v>
      </c>
      <c r="B206" s="14" t="s">
        <v>365</v>
      </c>
      <c r="C206" s="12" t="s">
        <v>233</v>
      </c>
      <c r="D206" s="12" t="s">
        <v>238</v>
      </c>
      <c r="E206" s="12" t="s">
        <v>366</v>
      </c>
      <c r="F206" s="20">
        <v>1.72</v>
      </c>
      <c r="G206" s="14">
        <v>312</v>
      </c>
      <c r="H206" s="15">
        <f t="shared" si="6"/>
        <v>536.64</v>
      </c>
      <c r="I206" s="16">
        <v>0.16799999999999998</v>
      </c>
      <c r="J206" s="16">
        <f t="shared" si="7"/>
        <v>52.416</v>
      </c>
      <c r="K206" s="19" t="s">
        <v>18</v>
      </c>
      <c r="U206" s="2"/>
    </row>
    <row r="207" spans="1:21" s="1" customFormat="1" ht="12.75">
      <c r="A207" s="11">
        <v>1835</v>
      </c>
      <c r="B207" s="14" t="s">
        <v>367</v>
      </c>
      <c r="C207" s="12" t="s">
        <v>233</v>
      </c>
      <c r="D207" s="12" t="s">
        <v>238</v>
      </c>
      <c r="E207" s="12" t="s">
        <v>366</v>
      </c>
      <c r="F207" s="20">
        <v>1.72</v>
      </c>
      <c r="G207" s="14">
        <f>125</f>
        <v>125</v>
      </c>
      <c r="H207" s="15">
        <f t="shared" si="6"/>
        <v>215</v>
      </c>
      <c r="I207" s="16">
        <v>0.16799999999999998</v>
      </c>
      <c r="J207" s="16">
        <f t="shared" si="7"/>
        <v>20.999999999999996</v>
      </c>
      <c r="K207" s="19" t="s">
        <v>18</v>
      </c>
      <c r="U207" s="2"/>
    </row>
    <row r="208" spans="1:21" s="1" customFormat="1" ht="25.5">
      <c r="A208" s="11">
        <v>1837</v>
      </c>
      <c r="B208" s="14" t="s">
        <v>368</v>
      </c>
      <c r="C208" s="12" t="s">
        <v>233</v>
      </c>
      <c r="D208" s="12" t="s">
        <v>291</v>
      </c>
      <c r="E208" s="12" t="s">
        <v>308</v>
      </c>
      <c r="F208" s="20">
        <v>6</v>
      </c>
      <c r="G208" s="14">
        <f>4</f>
        <v>4</v>
      </c>
      <c r="H208" s="15">
        <f t="shared" si="6"/>
        <v>24</v>
      </c>
      <c r="I208" s="16">
        <v>0.5880000000000001</v>
      </c>
      <c r="J208" s="16">
        <f t="shared" si="7"/>
        <v>2.3520000000000003</v>
      </c>
      <c r="K208" s="19" t="s">
        <v>18</v>
      </c>
      <c r="U208" s="2"/>
    </row>
    <row r="209" spans="1:21" s="1" customFormat="1" ht="25.5">
      <c r="A209" s="11">
        <v>1838</v>
      </c>
      <c r="B209" s="14" t="s">
        <v>369</v>
      </c>
      <c r="C209" s="12" t="s">
        <v>233</v>
      </c>
      <c r="D209" s="12" t="s">
        <v>291</v>
      </c>
      <c r="E209" s="12" t="s">
        <v>308</v>
      </c>
      <c r="F209" s="20">
        <v>6</v>
      </c>
      <c r="G209" s="14">
        <f>5</f>
        <v>5</v>
      </c>
      <c r="H209" s="15">
        <f t="shared" si="6"/>
        <v>30</v>
      </c>
      <c r="I209" s="16">
        <v>0.5880000000000001</v>
      </c>
      <c r="J209" s="16">
        <f t="shared" si="7"/>
        <v>2.9400000000000004</v>
      </c>
      <c r="K209" s="19" t="s">
        <v>18</v>
      </c>
      <c r="U209" s="2"/>
    </row>
    <row r="210" spans="1:21" s="1" customFormat="1" ht="25.5">
      <c r="A210" s="11">
        <v>1839</v>
      </c>
      <c r="B210" s="14" t="s">
        <v>370</v>
      </c>
      <c r="C210" s="12" t="s">
        <v>233</v>
      </c>
      <c r="D210" s="12" t="s">
        <v>291</v>
      </c>
      <c r="E210" s="12" t="s">
        <v>308</v>
      </c>
      <c r="F210" s="20">
        <v>6</v>
      </c>
      <c r="G210" s="14">
        <f>7</f>
        <v>7</v>
      </c>
      <c r="H210" s="15">
        <f t="shared" si="6"/>
        <v>42</v>
      </c>
      <c r="I210" s="16">
        <v>0.5880000000000001</v>
      </c>
      <c r="J210" s="16">
        <f t="shared" si="7"/>
        <v>4.1160000000000005</v>
      </c>
      <c r="K210" s="19" t="s">
        <v>18</v>
      </c>
      <c r="U210" s="2"/>
    </row>
    <row r="211" spans="1:21" s="1" customFormat="1" ht="25.5">
      <c r="A211" s="11">
        <v>1840</v>
      </c>
      <c r="B211" s="14" t="s">
        <v>371</v>
      </c>
      <c r="C211" s="12" t="s">
        <v>233</v>
      </c>
      <c r="D211" s="12" t="s">
        <v>291</v>
      </c>
      <c r="E211" s="12" t="s">
        <v>308</v>
      </c>
      <c r="F211" s="20">
        <v>6</v>
      </c>
      <c r="G211" s="14">
        <f>3</f>
        <v>3</v>
      </c>
      <c r="H211" s="15">
        <f t="shared" si="6"/>
        <v>18</v>
      </c>
      <c r="I211" s="16">
        <v>0.5880000000000001</v>
      </c>
      <c r="J211" s="16">
        <f t="shared" si="7"/>
        <v>1.7640000000000002</v>
      </c>
      <c r="K211" s="19" t="s">
        <v>18</v>
      </c>
      <c r="U211" s="2"/>
    </row>
    <row r="212" spans="1:21" s="1" customFormat="1" ht="25.5">
      <c r="A212" s="11">
        <v>1841</v>
      </c>
      <c r="B212" s="14" t="s">
        <v>372</v>
      </c>
      <c r="C212" s="12" t="s">
        <v>233</v>
      </c>
      <c r="D212" s="12" t="s">
        <v>291</v>
      </c>
      <c r="E212" s="12" t="s">
        <v>308</v>
      </c>
      <c r="F212" s="20">
        <v>6</v>
      </c>
      <c r="G212" s="14">
        <f>6</f>
        <v>6</v>
      </c>
      <c r="H212" s="15">
        <f t="shared" si="6"/>
        <v>36</v>
      </c>
      <c r="I212" s="16">
        <v>0.5880000000000001</v>
      </c>
      <c r="J212" s="16">
        <f t="shared" si="7"/>
        <v>3.5280000000000005</v>
      </c>
      <c r="K212" s="19" t="s">
        <v>18</v>
      </c>
      <c r="U212" s="2"/>
    </row>
    <row r="213" spans="1:21" s="1" customFormat="1" ht="25.5">
      <c r="A213" s="11">
        <v>1842</v>
      </c>
      <c r="B213" s="14" t="s">
        <v>373</v>
      </c>
      <c r="C213" s="12" t="s">
        <v>233</v>
      </c>
      <c r="D213" s="12" t="s">
        <v>291</v>
      </c>
      <c r="E213" s="12" t="s">
        <v>308</v>
      </c>
      <c r="F213" s="20">
        <v>6</v>
      </c>
      <c r="G213" s="14">
        <v>3</v>
      </c>
      <c r="H213" s="15">
        <f t="shared" si="6"/>
        <v>18</v>
      </c>
      <c r="I213" s="16">
        <v>0.5880000000000001</v>
      </c>
      <c r="J213" s="16">
        <f t="shared" si="7"/>
        <v>1.7640000000000002</v>
      </c>
      <c r="K213" s="19" t="s">
        <v>18</v>
      </c>
      <c r="U213" s="2"/>
    </row>
    <row r="214" spans="1:21" s="1" customFormat="1" ht="12.75">
      <c r="A214" s="11">
        <v>1868</v>
      </c>
      <c r="B214" s="23" t="s">
        <v>374</v>
      </c>
      <c r="C214" s="12" t="s">
        <v>233</v>
      </c>
      <c r="D214" s="12"/>
      <c r="E214" s="12"/>
      <c r="F214" s="20">
        <v>14.7</v>
      </c>
      <c r="G214" s="14">
        <v>2</v>
      </c>
      <c r="H214" s="15">
        <f t="shared" si="6"/>
        <v>29.4</v>
      </c>
      <c r="I214" s="16">
        <v>0.732</v>
      </c>
      <c r="J214" s="16">
        <f t="shared" si="7"/>
        <v>1.464</v>
      </c>
      <c r="K214" s="19"/>
      <c r="U214" s="2"/>
    </row>
    <row r="215" spans="1:21" s="1" customFormat="1" ht="25.5">
      <c r="A215" s="11">
        <v>1878</v>
      </c>
      <c r="B215" s="14" t="s">
        <v>375</v>
      </c>
      <c r="C215" s="12" t="s">
        <v>233</v>
      </c>
      <c r="D215" s="12" t="s">
        <v>291</v>
      </c>
      <c r="E215" s="12" t="s">
        <v>308</v>
      </c>
      <c r="F215" s="20">
        <v>18</v>
      </c>
      <c r="G215" s="14">
        <f>1</f>
        <v>1</v>
      </c>
      <c r="H215" s="15">
        <f t="shared" si="6"/>
        <v>18</v>
      </c>
      <c r="I215" s="16">
        <v>0.8960000000000001</v>
      </c>
      <c r="J215" s="16">
        <f t="shared" si="7"/>
        <v>0.8960000000000001</v>
      </c>
      <c r="K215" s="19" t="s">
        <v>18</v>
      </c>
      <c r="U215" s="2"/>
    </row>
    <row r="216" spans="1:21" s="1" customFormat="1" ht="25.5">
      <c r="A216" s="11">
        <v>1879</v>
      </c>
      <c r="B216" s="14" t="s">
        <v>376</v>
      </c>
      <c r="C216" s="12" t="s">
        <v>233</v>
      </c>
      <c r="D216" s="12" t="s">
        <v>291</v>
      </c>
      <c r="E216" s="12" t="s">
        <v>308</v>
      </c>
      <c r="F216" s="13">
        <v>18</v>
      </c>
      <c r="G216" s="14">
        <v>2</v>
      </c>
      <c r="H216" s="15">
        <f t="shared" si="6"/>
        <v>36</v>
      </c>
      <c r="I216" s="16">
        <v>0.8960000000000001</v>
      </c>
      <c r="J216" s="16">
        <f t="shared" si="7"/>
        <v>1.7920000000000003</v>
      </c>
      <c r="K216" s="19" t="s">
        <v>18</v>
      </c>
      <c r="U216" s="2"/>
    </row>
    <row r="217" spans="1:21" s="1" customFormat="1" ht="25.5">
      <c r="A217" s="11">
        <v>1909</v>
      </c>
      <c r="B217" s="14" t="s">
        <v>377</v>
      </c>
      <c r="C217" s="24" t="s">
        <v>233</v>
      </c>
      <c r="D217" s="12" t="s">
        <v>291</v>
      </c>
      <c r="E217" s="24" t="s">
        <v>378</v>
      </c>
      <c r="F217" s="20">
        <v>3.8</v>
      </c>
      <c r="G217" s="14">
        <v>145</v>
      </c>
      <c r="H217" s="15">
        <f t="shared" si="6"/>
        <v>551</v>
      </c>
      <c r="I217" s="16">
        <v>0.38</v>
      </c>
      <c r="J217" s="16">
        <f t="shared" si="7"/>
        <v>55.1</v>
      </c>
      <c r="K217" s="19" t="s">
        <v>18</v>
      </c>
      <c r="U217" s="2"/>
    </row>
    <row r="218" spans="1:21" s="1" customFormat="1" ht="25.5">
      <c r="A218" s="11">
        <v>1910</v>
      </c>
      <c r="B218" s="14" t="s">
        <v>379</v>
      </c>
      <c r="C218" s="24" t="s">
        <v>233</v>
      </c>
      <c r="D218" s="12" t="s">
        <v>291</v>
      </c>
      <c r="E218" s="24" t="s">
        <v>378</v>
      </c>
      <c r="F218" s="20">
        <v>3.8</v>
      </c>
      <c r="G218" s="14">
        <v>131</v>
      </c>
      <c r="H218" s="15">
        <f t="shared" si="6"/>
        <v>497.79999999999995</v>
      </c>
      <c r="I218" s="16">
        <v>0.38</v>
      </c>
      <c r="J218" s="16">
        <f t="shared" si="7"/>
        <v>49.78</v>
      </c>
      <c r="K218" s="19" t="s">
        <v>18</v>
      </c>
      <c r="U218" s="2"/>
    </row>
    <row r="219" spans="1:21" s="1" customFormat="1" ht="25.5">
      <c r="A219" s="11">
        <v>1918</v>
      </c>
      <c r="B219" s="14" t="s">
        <v>380</v>
      </c>
      <c r="C219" s="24" t="s">
        <v>233</v>
      </c>
      <c r="D219" s="12" t="s">
        <v>291</v>
      </c>
      <c r="E219" s="24" t="s">
        <v>378</v>
      </c>
      <c r="F219" s="20">
        <v>3.8</v>
      </c>
      <c r="G219" s="14">
        <f>100+50</f>
        <v>150</v>
      </c>
      <c r="H219" s="15">
        <f t="shared" si="6"/>
        <v>570</v>
      </c>
      <c r="I219" s="16">
        <v>0.38</v>
      </c>
      <c r="J219" s="16">
        <f t="shared" si="7"/>
        <v>57</v>
      </c>
      <c r="K219" s="19"/>
      <c r="U219" s="2"/>
    </row>
    <row r="220" spans="1:21" s="1" customFormat="1" ht="25.5">
      <c r="A220" s="11">
        <v>1919</v>
      </c>
      <c r="B220" s="14" t="s">
        <v>381</v>
      </c>
      <c r="C220" s="24" t="s">
        <v>233</v>
      </c>
      <c r="D220" s="12" t="s">
        <v>291</v>
      </c>
      <c r="E220" s="24" t="s">
        <v>378</v>
      </c>
      <c r="F220" s="20">
        <v>3.8</v>
      </c>
      <c r="G220" s="14">
        <v>144</v>
      </c>
      <c r="H220" s="15">
        <f t="shared" si="6"/>
        <v>547.1999999999999</v>
      </c>
      <c r="I220" s="16">
        <v>0.38</v>
      </c>
      <c r="J220" s="16">
        <f t="shared" si="7"/>
        <v>54.72</v>
      </c>
      <c r="K220" s="19" t="s">
        <v>18</v>
      </c>
      <c r="U220" s="2"/>
    </row>
    <row r="221" spans="1:21" s="1" customFormat="1" ht="25.5">
      <c r="A221" s="11">
        <v>1920</v>
      </c>
      <c r="B221" s="14" t="s">
        <v>382</v>
      </c>
      <c r="C221" s="24" t="s">
        <v>233</v>
      </c>
      <c r="D221" s="12" t="s">
        <v>291</v>
      </c>
      <c r="E221" s="24" t="s">
        <v>378</v>
      </c>
      <c r="F221" s="20">
        <v>3.8</v>
      </c>
      <c r="G221" s="14">
        <v>121</v>
      </c>
      <c r="H221" s="15">
        <f t="shared" si="6"/>
        <v>459.79999999999995</v>
      </c>
      <c r="I221" s="16">
        <v>0.38</v>
      </c>
      <c r="J221" s="16">
        <f t="shared" si="7"/>
        <v>45.980000000000004</v>
      </c>
      <c r="K221" s="19" t="s">
        <v>18</v>
      </c>
      <c r="U221" s="2"/>
    </row>
    <row r="222" spans="1:21" s="1" customFormat="1" ht="25.5">
      <c r="A222" s="11">
        <v>1921</v>
      </c>
      <c r="B222" s="14" t="s">
        <v>383</v>
      </c>
      <c r="C222" s="24" t="s">
        <v>233</v>
      </c>
      <c r="D222" s="12" t="s">
        <v>291</v>
      </c>
      <c r="E222" s="24" t="s">
        <v>378</v>
      </c>
      <c r="F222" s="20">
        <v>3.8</v>
      </c>
      <c r="G222" s="14">
        <f>148-48</f>
        <v>100</v>
      </c>
      <c r="H222" s="15">
        <f t="shared" si="6"/>
        <v>380</v>
      </c>
      <c r="I222" s="16">
        <v>0.38</v>
      </c>
      <c r="J222" s="16">
        <f t="shared" si="7"/>
        <v>38</v>
      </c>
      <c r="K222" s="19" t="s">
        <v>18</v>
      </c>
      <c r="U222" s="2"/>
    </row>
    <row r="223" spans="1:21" s="1" customFormat="1" ht="25.5">
      <c r="A223" s="11">
        <v>1922</v>
      </c>
      <c r="B223" s="14" t="s">
        <v>384</v>
      </c>
      <c r="C223" s="24" t="s">
        <v>233</v>
      </c>
      <c r="D223" s="12" t="s">
        <v>291</v>
      </c>
      <c r="E223" s="24" t="s">
        <v>378</v>
      </c>
      <c r="F223" s="20">
        <v>3.8</v>
      </c>
      <c r="G223" s="14">
        <f>127-79</f>
        <v>48</v>
      </c>
      <c r="H223" s="15">
        <f t="shared" si="6"/>
        <v>182.39999999999998</v>
      </c>
      <c r="I223" s="16">
        <v>0.38</v>
      </c>
      <c r="J223" s="16">
        <f t="shared" si="7"/>
        <v>18.240000000000002</v>
      </c>
      <c r="K223" s="19" t="s">
        <v>18</v>
      </c>
      <c r="U223" s="2"/>
    </row>
    <row r="224" spans="1:21" s="1" customFormat="1" ht="25.5">
      <c r="A224" s="11">
        <v>1923</v>
      </c>
      <c r="B224" s="14" t="s">
        <v>385</v>
      </c>
      <c r="C224" s="24" t="s">
        <v>233</v>
      </c>
      <c r="D224" s="12" t="s">
        <v>291</v>
      </c>
      <c r="E224" s="24" t="s">
        <v>378</v>
      </c>
      <c r="F224" s="20">
        <v>3.8</v>
      </c>
      <c r="G224" s="14">
        <f>144-50</f>
        <v>94</v>
      </c>
      <c r="H224" s="15">
        <f t="shared" si="6"/>
        <v>357.2</v>
      </c>
      <c r="I224" s="16">
        <v>0.38</v>
      </c>
      <c r="J224" s="16">
        <f t="shared" si="7"/>
        <v>35.72</v>
      </c>
      <c r="K224" s="19" t="s">
        <v>18</v>
      </c>
      <c r="U224" s="2"/>
    </row>
    <row r="225" spans="1:21" s="1" customFormat="1" ht="25.5">
      <c r="A225" s="11">
        <v>1924</v>
      </c>
      <c r="B225" s="14" t="s">
        <v>386</v>
      </c>
      <c r="C225" s="24" t="s">
        <v>233</v>
      </c>
      <c r="D225" s="12" t="s">
        <v>291</v>
      </c>
      <c r="E225" s="24" t="s">
        <v>378</v>
      </c>
      <c r="F225" s="20">
        <v>3.8</v>
      </c>
      <c r="G225" s="14">
        <v>144</v>
      </c>
      <c r="H225" s="15">
        <f t="shared" si="6"/>
        <v>547.1999999999999</v>
      </c>
      <c r="I225" s="16">
        <v>0.38</v>
      </c>
      <c r="J225" s="16">
        <f t="shared" si="7"/>
        <v>54.72</v>
      </c>
      <c r="K225" s="19" t="s">
        <v>18</v>
      </c>
      <c r="U225" s="2"/>
    </row>
    <row r="226" spans="1:21" s="1" customFormat="1" ht="25.5">
      <c r="A226" s="11">
        <v>1925</v>
      </c>
      <c r="B226" s="14" t="s">
        <v>387</v>
      </c>
      <c r="C226" s="24" t="s">
        <v>233</v>
      </c>
      <c r="D226" s="12" t="s">
        <v>291</v>
      </c>
      <c r="E226" s="24" t="s">
        <v>378</v>
      </c>
      <c r="F226" s="20">
        <v>3.8</v>
      </c>
      <c r="G226" s="14">
        <v>115</v>
      </c>
      <c r="H226" s="15">
        <f t="shared" si="6"/>
        <v>437</v>
      </c>
      <c r="I226" s="16">
        <v>0.38</v>
      </c>
      <c r="J226" s="16">
        <f t="shared" si="7"/>
        <v>43.7</v>
      </c>
      <c r="K226" s="19" t="s">
        <v>18</v>
      </c>
      <c r="U226" s="2"/>
    </row>
    <row r="227" spans="1:21" s="1" customFormat="1" ht="25.5">
      <c r="A227" s="11">
        <v>1926</v>
      </c>
      <c r="B227" s="14" t="s">
        <v>388</v>
      </c>
      <c r="C227" s="24" t="s">
        <v>233</v>
      </c>
      <c r="D227" s="12" t="s">
        <v>291</v>
      </c>
      <c r="E227" s="24" t="s">
        <v>378</v>
      </c>
      <c r="F227" s="20">
        <v>3.8</v>
      </c>
      <c r="G227" s="14">
        <v>143</v>
      </c>
      <c r="H227" s="15">
        <f t="shared" si="6"/>
        <v>543.4</v>
      </c>
      <c r="I227" s="16">
        <v>0.38</v>
      </c>
      <c r="J227" s="16">
        <f t="shared" si="7"/>
        <v>54.34</v>
      </c>
      <c r="K227" s="19" t="s">
        <v>18</v>
      </c>
      <c r="U227" s="2"/>
    </row>
    <row r="228" spans="1:21" s="1" customFormat="1" ht="25.5">
      <c r="A228" s="11">
        <v>1927</v>
      </c>
      <c r="B228" s="14" t="s">
        <v>389</v>
      </c>
      <c r="C228" s="24" t="s">
        <v>233</v>
      </c>
      <c r="D228" s="12" t="s">
        <v>291</v>
      </c>
      <c r="E228" s="24" t="s">
        <v>378</v>
      </c>
      <c r="F228" s="20">
        <v>3.8</v>
      </c>
      <c r="G228" s="14">
        <v>144</v>
      </c>
      <c r="H228" s="15">
        <f t="shared" si="6"/>
        <v>547.1999999999999</v>
      </c>
      <c r="I228" s="16">
        <v>0.38</v>
      </c>
      <c r="J228" s="16">
        <f t="shared" si="7"/>
        <v>54.72</v>
      </c>
      <c r="K228" s="19" t="s">
        <v>18</v>
      </c>
      <c r="U228" s="2"/>
    </row>
    <row r="229" spans="1:21" s="1" customFormat="1" ht="25.5">
      <c r="A229" s="11">
        <v>1928</v>
      </c>
      <c r="B229" s="14" t="s">
        <v>390</v>
      </c>
      <c r="C229" s="24" t="s">
        <v>233</v>
      </c>
      <c r="D229" s="12" t="s">
        <v>291</v>
      </c>
      <c r="E229" s="24" t="s">
        <v>378</v>
      </c>
      <c r="F229" s="20">
        <v>3.8</v>
      </c>
      <c r="G229" s="14">
        <v>145</v>
      </c>
      <c r="H229" s="15">
        <f t="shared" si="6"/>
        <v>551</v>
      </c>
      <c r="I229" s="16">
        <v>0.38</v>
      </c>
      <c r="J229" s="16">
        <f t="shared" si="7"/>
        <v>55.1</v>
      </c>
      <c r="K229" s="19" t="s">
        <v>18</v>
      </c>
      <c r="U229" s="2"/>
    </row>
    <row r="230" spans="1:21" s="1" customFormat="1" ht="18.75" customHeight="1">
      <c r="A230" s="11">
        <v>1938</v>
      </c>
      <c r="B230" s="14" t="s">
        <v>391</v>
      </c>
      <c r="C230" s="12" t="s">
        <v>279</v>
      </c>
      <c r="D230" s="12" t="s">
        <v>392</v>
      </c>
      <c r="E230" s="12" t="s">
        <v>393</v>
      </c>
      <c r="F230" s="20">
        <v>11.96</v>
      </c>
      <c r="G230" s="14">
        <f>7-2</f>
        <v>5</v>
      </c>
      <c r="H230" s="15">
        <f t="shared" si="6"/>
        <v>59.800000000000004</v>
      </c>
      <c r="I230" s="16">
        <v>0.868</v>
      </c>
      <c r="J230" s="16">
        <f t="shared" si="7"/>
        <v>4.34</v>
      </c>
      <c r="K230" s="19" t="s">
        <v>18</v>
      </c>
      <c r="U230" s="2"/>
    </row>
    <row r="231" spans="1:21" s="1" customFormat="1" ht="25.5">
      <c r="A231" s="11">
        <v>1954</v>
      </c>
      <c r="B231" s="14" t="s">
        <v>394</v>
      </c>
      <c r="C231" s="12" t="s">
        <v>233</v>
      </c>
      <c r="D231" s="12" t="s">
        <v>291</v>
      </c>
      <c r="E231" s="12" t="s">
        <v>395</v>
      </c>
      <c r="F231" s="13">
        <v>1.22</v>
      </c>
      <c r="G231" s="14">
        <f>500+500+500+500+499+250</f>
        <v>2749</v>
      </c>
      <c r="H231" s="15">
        <f t="shared" si="6"/>
        <v>3353.7799999999997</v>
      </c>
      <c r="I231" s="16">
        <v>0.1232</v>
      </c>
      <c r="J231" s="16">
        <f t="shared" si="7"/>
        <v>338.6768</v>
      </c>
      <c r="K231" s="19" t="s">
        <v>18</v>
      </c>
      <c r="U231" s="2"/>
    </row>
    <row r="232" spans="1:21" s="1" customFormat="1" ht="12.75">
      <c r="A232" s="11">
        <v>2001</v>
      </c>
      <c r="B232" s="14" t="s">
        <v>396</v>
      </c>
      <c r="C232" s="12" t="s">
        <v>233</v>
      </c>
      <c r="D232" s="12" t="s">
        <v>238</v>
      </c>
      <c r="E232" s="12" t="s">
        <v>366</v>
      </c>
      <c r="F232" s="20">
        <v>1.72</v>
      </c>
      <c r="G232" s="14">
        <f>205</f>
        <v>205</v>
      </c>
      <c r="H232" s="15">
        <f t="shared" si="6"/>
        <v>352.6</v>
      </c>
      <c r="I232" s="16">
        <v>0.16799999999999998</v>
      </c>
      <c r="J232" s="16">
        <f t="shared" si="7"/>
        <v>34.44</v>
      </c>
      <c r="K232" s="19" t="s">
        <v>18</v>
      </c>
      <c r="U232" s="2"/>
    </row>
    <row r="233" spans="1:21" s="1" customFormat="1" ht="12.75">
      <c r="A233" s="11">
        <v>2002</v>
      </c>
      <c r="B233" s="14" t="s">
        <v>397</v>
      </c>
      <c r="C233" s="12" t="s">
        <v>233</v>
      </c>
      <c r="D233" s="12" t="s">
        <v>238</v>
      </c>
      <c r="E233" s="12" t="s">
        <v>366</v>
      </c>
      <c r="F233" s="20">
        <v>1.72</v>
      </c>
      <c r="G233" s="14">
        <f>625+295</f>
        <v>920</v>
      </c>
      <c r="H233" s="15">
        <f t="shared" si="6"/>
        <v>1582.3999999999999</v>
      </c>
      <c r="I233" s="16">
        <v>0.16799999999999998</v>
      </c>
      <c r="J233" s="16">
        <f t="shared" si="7"/>
        <v>154.55999999999997</v>
      </c>
      <c r="K233" s="19" t="s">
        <v>18</v>
      </c>
      <c r="U233" s="2"/>
    </row>
    <row r="234" spans="1:21" s="1" customFormat="1" ht="12.75">
      <c r="A234" s="11">
        <v>2003</v>
      </c>
      <c r="B234" s="14" t="s">
        <v>398</v>
      </c>
      <c r="C234" s="12" t="s">
        <v>233</v>
      </c>
      <c r="D234" s="12" t="s">
        <v>238</v>
      </c>
      <c r="E234" s="12" t="s">
        <v>366</v>
      </c>
      <c r="F234" s="20">
        <v>1.72</v>
      </c>
      <c r="G234" s="14">
        <f>187</f>
        <v>187</v>
      </c>
      <c r="H234" s="15">
        <f t="shared" si="6"/>
        <v>321.64</v>
      </c>
      <c r="I234" s="16">
        <v>0.16799999999999998</v>
      </c>
      <c r="J234" s="16">
        <f t="shared" si="7"/>
        <v>31.415999999999997</v>
      </c>
      <c r="K234" s="19" t="s">
        <v>18</v>
      </c>
      <c r="U234" s="2"/>
    </row>
    <row r="235" spans="1:21" s="1" customFormat="1" ht="12.75">
      <c r="A235" s="11">
        <v>2004</v>
      </c>
      <c r="B235" s="14" t="s">
        <v>399</v>
      </c>
      <c r="C235" s="12" t="s">
        <v>233</v>
      </c>
      <c r="D235" s="12" t="s">
        <v>238</v>
      </c>
      <c r="E235" s="12" t="s">
        <v>366</v>
      </c>
      <c r="F235" s="20">
        <v>1.72</v>
      </c>
      <c r="G235" s="14">
        <v>424</v>
      </c>
      <c r="H235" s="15">
        <f t="shared" si="6"/>
        <v>729.28</v>
      </c>
      <c r="I235" s="16">
        <v>0.16799999999999998</v>
      </c>
      <c r="J235" s="16">
        <f t="shared" si="7"/>
        <v>71.232</v>
      </c>
      <c r="K235" s="19" t="s">
        <v>18</v>
      </c>
      <c r="U235" s="2"/>
    </row>
    <row r="236" spans="1:21" s="1" customFormat="1" ht="12.75">
      <c r="A236" s="11">
        <v>2005</v>
      </c>
      <c r="B236" s="14" t="s">
        <v>400</v>
      </c>
      <c r="C236" s="12" t="s">
        <v>233</v>
      </c>
      <c r="D236" s="12" t="s">
        <v>238</v>
      </c>
      <c r="E236" s="12" t="s">
        <v>366</v>
      </c>
      <c r="F236" s="20">
        <v>1.72</v>
      </c>
      <c r="G236" s="14">
        <f>305-10</f>
        <v>295</v>
      </c>
      <c r="H236" s="15">
        <f t="shared" si="6"/>
        <v>507.4</v>
      </c>
      <c r="I236" s="16">
        <v>0.16799999999999998</v>
      </c>
      <c r="J236" s="16">
        <f t="shared" si="7"/>
        <v>49.559999999999995</v>
      </c>
      <c r="K236" s="19" t="s">
        <v>18</v>
      </c>
      <c r="U236" s="2"/>
    </row>
    <row r="237" spans="1:21" s="1" customFormat="1" ht="12.75">
      <c r="A237" s="11">
        <v>2006</v>
      </c>
      <c r="B237" s="14" t="s">
        <v>401</v>
      </c>
      <c r="C237" s="12" t="s">
        <v>233</v>
      </c>
      <c r="D237" s="12" t="s">
        <v>238</v>
      </c>
      <c r="E237" s="12" t="s">
        <v>366</v>
      </c>
      <c r="F237" s="20">
        <v>1.72</v>
      </c>
      <c r="G237" s="14">
        <f>298</f>
        <v>298</v>
      </c>
      <c r="H237" s="15">
        <f t="shared" si="6"/>
        <v>512.56</v>
      </c>
      <c r="I237" s="16">
        <v>0.16799999999999998</v>
      </c>
      <c r="J237" s="16">
        <f t="shared" si="7"/>
        <v>50.06399999999999</v>
      </c>
      <c r="K237" s="19" t="s">
        <v>18</v>
      </c>
      <c r="U237" s="2"/>
    </row>
    <row r="238" spans="1:21" s="1" customFormat="1" ht="12.75">
      <c r="A238" s="11">
        <v>2007</v>
      </c>
      <c r="B238" s="14" t="s">
        <v>402</v>
      </c>
      <c r="C238" s="12" t="s">
        <v>233</v>
      </c>
      <c r="D238" s="12" t="s">
        <v>238</v>
      </c>
      <c r="E238" s="12" t="s">
        <v>366</v>
      </c>
      <c r="F238" s="20">
        <v>1.72</v>
      </c>
      <c r="G238" s="14">
        <f>624</f>
        <v>624</v>
      </c>
      <c r="H238" s="15">
        <f t="shared" si="6"/>
        <v>1073.28</v>
      </c>
      <c r="I238" s="16">
        <v>0.16799999999999998</v>
      </c>
      <c r="J238" s="16">
        <f t="shared" si="7"/>
        <v>104.832</v>
      </c>
      <c r="K238" s="19" t="s">
        <v>18</v>
      </c>
      <c r="U238" s="2"/>
    </row>
    <row r="239" spans="1:21" s="1" customFormat="1" ht="25.5">
      <c r="A239" s="11">
        <v>2020</v>
      </c>
      <c r="B239" s="14" t="s">
        <v>403</v>
      </c>
      <c r="C239" s="12" t="s">
        <v>279</v>
      </c>
      <c r="D239" s="12" t="s">
        <v>404</v>
      </c>
      <c r="E239" s="12" t="s">
        <v>281</v>
      </c>
      <c r="F239" s="20">
        <v>6.88</v>
      </c>
      <c r="G239" s="14">
        <f>9</f>
        <v>9</v>
      </c>
      <c r="H239" s="15">
        <f t="shared" si="6"/>
        <v>61.92</v>
      </c>
      <c r="I239" s="16">
        <v>0.616</v>
      </c>
      <c r="J239" s="16">
        <f t="shared" si="7"/>
        <v>5.544</v>
      </c>
      <c r="K239" s="19" t="s">
        <v>18</v>
      </c>
      <c r="U239" s="2"/>
    </row>
    <row r="240" spans="1:21" s="1" customFormat="1" ht="25.5">
      <c r="A240" s="11">
        <v>2021</v>
      </c>
      <c r="B240" s="14" t="s">
        <v>405</v>
      </c>
      <c r="C240" s="12" t="s">
        <v>279</v>
      </c>
      <c r="D240" s="12" t="s">
        <v>404</v>
      </c>
      <c r="E240" s="12" t="s">
        <v>281</v>
      </c>
      <c r="F240" s="20">
        <v>6.88</v>
      </c>
      <c r="G240" s="14">
        <f>20</f>
        <v>20</v>
      </c>
      <c r="H240" s="15">
        <f t="shared" si="6"/>
        <v>137.6</v>
      </c>
      <c r="I240" s="16">
        <v>0.616</v>
      </c>
      <c r="J240" s="16">
        <f t="shared" si="7"/>
        <v>12.32</v>
      </c>
      <c r="K240" s="19" t="s">
        <v>18</v>
      </c>
      <c r="U240" s="2"/>
    </row>
    <row r="241" spans="1:21" s="1" customFormat="1" ht="25.5">
      <c r="A241" s="11">
        <v>2022</v>
      </c>
      <c r="B241" s="14" t="s">
        <v>406</v>
      </c>
      <c r="C241" s="12" t="s">
        <v>279</v>
      </c>
      <c r="D241" s="12" t="s">
        <v>404</v>
      </c>
      <c r="E241" s="12" t="s">
        <v>281</v>
      </c>
      <c r="F241" s="20">
        <v>6.88</v>
      </c>
      <c r="G241" s="14">
        <f>22-2</f>
        <v>20</v>
      </c>
      <c r="H241" s="15">
        <f t="shared" si="6"/>
        <v>137.6</v>
      </c>
      <c r="I241" s="16">
        <v>0.616</v>
      </c>
      <c r="J241" s="16">
        <f t="shared" si="7"/>
        <v>12.32</v>
      </c>
      <c r="K241" s="19" t="s">
        <v>18</v>
      </c>
      <c r="U241" s="2"/>
    </row>
    <row r="242" spans="1:21" s="1" customFormat="1" ht="25.5">
      <c r="A242" s="11">
        <v>2023</v>
      </c>
      <c r="B242" s="14" t="s">
        <v>407</v>
      </c>
      <c r="C242" s="12" t="s">
        <v>279</v>
      </c>
      <c r="D242" s="12" t="s">
        <v>404</v>
      </c>
      <c r="E242" s="12" t="s">
        <v>281</v>
      </c>
      <c r="F242" s="20">
        <v>2.29</v>
      </c>
      <c r="G242" s="14">
        <f>14</f>
        <v>14</v>
      </c>
      <c r="H242" s="15">
        <f t="shared" si="6"/>
        <v>32.06</v>
      </c>
      <c r="I242" s="16">
        <v>0.229</v>
      </c>
      <c r="J242" s="16">
        <f t="shared" si="7"/>
        <v>3.206</v>
      </c>
      <c r="K242" s="19" t="s">
        <v>18</v>
      </c>
      <c r="U242" s="2"/>
    </row>
    <row r="243" spans="1:21" s="1" customFormat="1" ht="25.5">
      <c r="A243" s="11">
        <v>2024</v>
      </c>
      <c r="B243" s="14" t="s">
        <v>408</v>
      </c>
      <c r="C243" s="12" t="s">
        <v>279</v>
      </c>
      <c r="D243" s="12" t="s">
        <v>404</v>
      </c>
      <c r="E243" s="12" t="s">
        <v>281</v>
      </c>
      <c r="F243" s="20">
        <v>2.29</v>
      </c>
      <c r="G243" s="14">
        <v>20</v>
      </c>
      <c r="H243" s="15">
        <f t="shared" si="6"/>
        <v>45.8</v>
      </c>
      <c r="I243" s="16">
        <v>0.229</v>
      </c>
      <c r="J243" s="16">
        <f t="shared" si="7"/>
        <v>4.58</v>
      </c>
      <c r="K243" s="19" t="s">
        <v>18</v>
      </c>
      <c r="U243" s="2"/>
    </row>
    <row r="244" spans="1:21" s="1" customFormat="1" ht="25.5">
      <c r="A244" s="11">
        <v>2025</v>
      </c>
      <c r="B244" s="14" t="s">
        <v>408</v>
      </c>
      <c r="C244" s="12" t="s">
        <v>279</v>
      </c>
      <c r="D244" s="12" t="s">
        <v>404</v>
      </c>
      <c r="E244" s="12" t="s">
        <v>282</v>
      </c>
      <c r="F244" s="20">
        <v>2.29</v>
      </c>
      <c r="G244" s="14">
        <f>17</f>
        <v>17</v>
      </c>
      <c r="H244" s="15">
        <f t="shared" si="6"/>
        <v>38.93</v>
      </c>
      <c r="I244" s="16">
        <v>0.229</v>
      </c>
      <c r="J244" s="16">
        <f t="shared" si="7"/>
        <v>3.8930000000000002</v>
      </c>
      <c r="K244" s="19" t="s">
        <v>18</v>
      </c>
      <c r="U244" s="2"/>
    </row>
    <row r="245" spans="1:21" s="1" customFormat="1" ht="25.5">
      <c r="A245" s="11">
        <v>2026</v>
      </c>
      <c r="B245" s="14" t="s">
        <v>409</v>
      </c>
      <c r="C245" s="12" t="s">
        <v>279</v>
      </c>
      <c r="D245" s="12" t="s">
        <v>404</v>
      </c>
      <c r="E245" s="12" t="s">
        <v>281</v>
      </c>
      <c r="F245" s="20">
        <v>2.29</v>
      </c>
      <c r="G245" s="14">
        <f>14</f>
        <v>14</v>
      </c>
      <c r="H245" s="15">
        <f t="shared" si="6"/>
        <v>32.06</v>
      </c>
      <c r="I245" s="16">
        <v>0.229</v>
      </c>
      <c r="J245" s="16">
        <f t="shared" si="7"/>
        <v>3.206</v>
      </c>
      <c r="K245" s="19" t="s">
        <v>18</v>
      </c>
      <c r="U245" s="2"/>
    </row>
    <row r="246" spans="1:21" s="1" customFormat="1" ht="25.5">
      <c r="A246" s="11">
        <v>2027</v>
      </c>
      <c r="B246" s="14" t="s">
        <v>409</v>
      </c>
      <c r="C246" s="12" t="s">
        <v>279</v>
      </c>
      <c r="D246" s="12" t="s">
        <v>404</v>
      </c>
      <c r="E246" s="12" t="s">
        <v>282</v>
      </c>
      <c r="F246" s="20">
        <v>2.29</v>
      </c>
      <c r="G246" s="14">
        <f>19</f>
        <v>19</v>
      </c>
      <c r="H246" s="15">
        <f t="shared" si="6"/>
        <v>43.51</v>
      </c>
      <c r="I246" s="16">
        <v>0.229</v>
      </c>
      <c r="J246" s="16">
        <f t="shared" si="7"/>
        <v>4.351</v>
      </c>
      <c r="K246" s="19" t="s">
        <v>18</v>
      </c>
      <c r="U246" s="2"/>
    </row>
    <row r="247" spans="1:21" s="1" customFormat="1" ht="25.5">
      <c r="A247" s="11">
        <v>2028</v>
      </c>
      <c r="B247" s="14" t="s">
        <v>410</v>
      </c>
      <c r="C247" s="12" t="s">
        <v>279</v>
      </c>
      <c r="D247" s="12" t="s">
        <v>404</v>
      </c>
      <c r="E247" s="12" t="s">
        <v>281</v>
      </c>
      <c r="F247" s="20">
        <v>2.29</v>
      </c>
      <c r="G247" s="14">
        <f>14</f>
        <v>14</v>
      </c>
      <c r="H247" s="15">
        <f t="shared" si="6"/>
        <v>32.06</v>
      </c>
      <c r="I247" s="16">
        <v>0.229</v>
      </c>
      <c r="J247" s="16">
        <f t="shared" si="7"/>
        <v>3.206</v>
      </c>
      <c r="K247" s="19" t="s">
        <v>18</v>
      </c>
      <c r="U247" s="2"/>
    </row>
    <row r="248" spans="1:21" s="1" customFormat="1" ht="25.5">
      <c r="A248" s="11">
        <v>2029</v>
      </c>
      <c r="B248" s="14" t="s">
        <v>410</v>
      </c>
      <c r="C248" s="12" t="s">
        <v>279</v>
      </c>
      <c r="D248" s="12" t="s">
        <v>404</v>
      </c>
      <c r="E248" s="12" t="s">
        <v>282</v>
      </c>
      <c r="F248" s="20">
        <v>2.29</v>
      </c>
      <c r="G248" s="14">
        <f>14</f>
        <v>14</v>
      </c>
      <c r="H248" s="15">
        <f t="shared" si="6"/>
        <v>32.06</v>
      </c>
      <c r="I248" s="16">
        <v>0.229</v>
      </c>
      <c r="J248" s="16">
        <f t="shared" si="7"/>
        <v>3.206</v>
      </c>
      <c r="K248" s="19" t="s">
        <v>18</v>
      </c>
      <c r="U248" s="2"/>
    </row>
    <row r="249" spans="1:21" s="1" customFormat="1" ht="25.5">
      <c r="A249" s="11">
        <v>2030</v>
      </c>
      <c r="B249" s="14" t="s">
        <v>411</v>
      </c>
      <c r="C249" s="12" t="s">
        <v>279</v>
      </c>
      <c r="D249" s="12" t="s">
        <v>404</v>
      </c>
      <c r="E249" s="12" t="s">
        <v>281</v>
      </c>
      <c r="F249" s="20">
        <v>2.29</v>
      </c>
      <c r="G249" s="14">
        <f>10</f>
        <v>10</v>
      </c>
      <c r="H249" s="15">
        <f t="shared" si="6"/>
        <v>22.9</v>
      </c>
      <c r="I249" s="16">
        <v>0.229</v>
      </c>
      <c r="J249" s="16">
        <f t="shared" si="7"/>
        <v>2.29</v>
      </c>
      <c r="K249" s="19" t="s">
        <v>18</v>
      </c>
      <c r="U249" s="2"/>
    </row>
    <row r="250" spans="1:21" s="1" customFormat="1" ht="25.5">
      <c r="A250" s="11">
        <v>2031</v>
      </c>
      <c r="B250" s="14" t="s">
        <v>411</v>
      </c>
      <c r="C250" s="12" t="s">
        <v>279</v>
      </c>
      <c r="D250" s="12" t="s">
        <v>404</v>
      </c>
      <c r="E250" s="12" t="s">
        <v>282</v>
      </c>
      <c r="F250" s="20">
        <v>2.29</v>
      </c>
      <c r="G250" s="14">
        <f>15</f>
        <v>15</v>
      </c>
      <c r="H250" s="15">
        <f t="shared" si="6"/>
        <v>34.35</v>
      </c>
      <c r="I250" s="16">
        <v>0.229</v>
      </c>
      <c r="J250" s="16">
        <f t="shared" si="7"/>
        <v>3.435</v>
      </c>
      <c r="K250" s="19" t="s">
        <v>18</v>
      </c>
      <c r="U250" s="2"/>
    </row>
    <row r="251" spans="1:21" s="1" customFormat="1" ht="12.75">
      <c r="A251" s="11">
        <v>2078</v>
      </c>
      <c r="B251" s="14" t="s">
        <v>412</v>
      </c>
      <c r="C251" s="12" t="s">
        <v>279</v>
      </c>
      <c r="D251" s="12" t="s">
        <v>392</v>
      </c>
      <c r="E251" s="12" t="s">
        <v>393</v>
      </c>
      <c r="F251" s="20">
        <v>43.06</v>
      </c>
      <c r="G251" s="14">
        <f>2-2</f>
        <v>0</v>
      </c>
      <c r="H251" s="15">
        <f t="shared" si="6"/>
        <v>0</v>
      </c>
      <c r="I251" s="16">
        <v>3.22</v>
      </c>
      <c r="J251" s="16">
        <f t="shared" si="7"/>
        <v>0</v>
      </c>
      <c r="K251" s="19" t="s">
        <v>18</v>
      </c>
      <c r="U251" s="2"/>
    </row>
    <row r="252" spans="1:21" s="1" customFormat="1" ht="25.5">
      <c r="A252" s="11">
        <v>2097</v>
      </c>
      <c r="B252" s="14" t="s">
        <v>413</v>
      </c>
      <c r="C252" s="14" t="s">
        <v>233</v>
      </c>
      <c r="D252" s="12" t="s">
        <v>291</v>
      </c>
      <c r="E252" s="24" t="s">
        <v>414</v>
      </c>
      <c r="F252" s="20">
        <v>20.5</v>
      </c>
      <c r="G252" s="14">
        <v>4</v>
      </c>
      <c r="H252" s="15">
        <f t="shared" si="6"/>
        <v>82</v>
      </c>
      <c r="I252" s="16">
        <v>1.932</v>
      </c>
      <c r="J252" s="16">
        <f t="shared" si="7"/>
        <v>7.728</v>
      </c>
      <c r="K252" s="19" t="s">
        <v>18</v>
      </c>
      <c r="U252" s="2"/>
    </row>
    <row r="253" spans="1:21" s="1" customFormat="1" ht="25.5">
      <c r="A253" s="11">
        <v>2099</v>
      </c>
      <c r="B253" s="14" t="s">
        <v>415</v>
      </c>
      <c r="C253" s="14" t="s">
        <v>233</v>
      </c>
      <c r="D253" s="12" t="s">
        <v>291</v>
      </c>
      <c r="E253" s="24" t="s">
        <v>414</v>
      </c>
      <c r="F253" s="20">
        <v>20.5</v>
      </c>
      <c r="G253" s="14">
        <v>2</v>
      </c>
      <c r="H253" s="15">
        <f t="shared" si="6"/>
        <v>41</v>
      </c>
      <c r="I253" s="16">
        <v>1.932</v>
      </c>
      <c r="J253" s="16">
        <f t="shared" si="7"/>
        <v>3.864</v>
      </c>
      <c r="K253" s="19" t="s">
        <v>18</v>
      </c>
      <c r="U253" s="2"/>
    </row>
    <row r="254" spans="1:21" s="1" customFormat="1" ht="25.5">
      <c r="A254" s="11">
        <v>2101</v>
      </c>
      <c r="B254" s="14" t="s">
        <v>416</v>
      </c>
      <c r="C254" s="14" t="s">
        <v>233</v>
      </c>
      <c r="D254" s="12" t="s">
        <v>291</v>
      </c>
      <c r="E254" s="24" t="s">
        <v>414</v>
      </c>
      <c r="F254" s="20">
        <v>16.5</v>
      </c>
      <c r="G254" s="14">
        <v>1</v>
      </c>
      <c r="H254" s="15">
        <f t="shared" si="6"/>
        <v>16.5</v>
      </c>
      <c r="I254" s="16">
        <v>1.26</v>
      </c>
      <c r="J254" s="16">
        <f t="shared" si="7"/>
        <v>1.26</v>
      </c>
      <c r="K254" s="19" t="s">
        <v>18</v>
      </c>
      <c r="U254" s="2"/>
    </row>
    <row r="255" spans="1:21" s="1" customFormat="1" ht="25.5">
      <c r="A255" s="11">
        <v>2103</v>
      </c>
      <c r="B255" s="14" t="s">
        <v>417</v>
      </c>
      <c r="C255" s="14" t="s">
        <v>233</v>
      </c>
      <c r="D255" s="12" t="s">
        <v>291</v>
      </c>
      <c r="E255" s="24" t="s">
        <v>414</v>
      </c>
      <c r="F255" s="20">
        <v>17.5</v>
      </c>
      <c r="G255" s="14">
        <v>2</v>
      </c>
      <c r="H255" s="15">
        <f t="shared" si="6"/>
        <v>35</v>
      </c>
      <c r="I255" s="16">
        <v>1.54</v>
      </c>
      <c r="J255" s="16">
        <f t="shared" si="7"/>
        <v>3.08</v>
      </c>
      <c r="K255" s="19" t="s">
        <v>18</v>
      </c>
      <c r="U255" s="2"/>
    </row>
    <row r="256" spans="1:21" s="1" customFormat="1" ht="25.5">
      <c r="A256" s="11">
        <v>2104</v>
      </c>
      <c r="B256" s="14" t="s">
        <v>418</v>
      </c>
      <c r="C256" s="14" t="s">
        <v>233</v>
      </c>
      <c r="D256" s="12" t="s">
        <v>291</v>
      </c>
      <c r="E256" s="24" t="s">
        <v>414</v>
      </c>
      <c r="F256" s="20">
        <v>17.5</v>
      </c>
      <c r="G256" s="14">
        <v>4</v>
      </c>
      <c r="H256" s="15">
        <f t="shared" si="6"/>
        <v>70</v>
      </c>
      <c r="I256" s="16">
        <v>1.54</v>
      </c>
      <c r="J256" s="16">
        <f t="shared" si="7"/>
        <v>6.16</v>
      </c>
      <c r="K256" s="19" t="s">
        <v>18</v>
      </c>
      <c r="U256" s="2"/>
    </row>
    <row r="257" spans="1:21" s="1" customFormat="1" ht="17.25" customHeight="1">
      <c r="A257" s="11">
        <v>2107</v>
      </c>
      <c r="B257" s="14" t="s">
        <v>419</v>
      </c>
      <c r="C257" s="14" t="s">
        <v>233</v>
      </c>
      <c r="D257" s="12" t="s">
        <v>291</v>
      </c>
      <c r="E257" s="24" t="s">
        <v>414</v>
      </c>
      <c r="F257" s="20">
        <v>16.5</v>
      </c>
      <c r="G257" s="14">
        <v>2</v>
      </c>
      <c r="H257" s="15">
        <f t="shared" si="6"/>
        <v>33</v>
      </c>
      <c r="I257" s="16">
        <v>1.26</v>
      </c>
      <c r="J257" s="16">
        <f t="shared" si="7"/>
        <v>2.52</v>
      </c>
      <c r="K257" s="19" t="s">
        <v>18</v>
      </c>
      <c r="U257" s="2"/>
    </row>
    <row r="258" spans="1:21" s="1" customFormat="1" ht="25.5">
      <c r="A258" s="11">
        <v>2109</v>
      </c>
      <c r="B258" s="14" t="s">
        <v>420</v>
      </c>
      <c r="C258" s="14" t="s">
        <v>233</v>
      </c>
      <c r="D258" s="12" t="s">
        <v>291</v>
      </c>
      <c r="E258" s="24" t="s">
        <v>414</v>
      </c>
      <c r="F258" s="20">
        <v>16.5</v>
      </c>
      <c r="G258" s="14">
        <v>1</v>
      </c>
      <c r="H258" s="15">
        <f t="shared" si="6"/>
        <v>16.5</v>
      </c>
      <c r="I258" s="16">
        <v>1.26</v>
      </c>
      <c r="J258" s="16">
        <f t="shared" si="7"/>
        <v>1.26</v>
      </c>
      <c r="K258" s="19" t="s">
        <v>18</v>
      </c>
      <c r="U258" s="2"/>
    </row>
    <row r="259" spans="1:21" s="1" customFormat="1" ht="33" customHeight="1">
      <c r="A259" s="11">
        <v>2110</v>
      </c>
      <c r="B259" s="14" t="s">
        <v>421</v>
      </c>
      <c r="C259" s="12" t="s">
        <v>233</v>
      </c>
      <c r="D259" s="12" t="s">
        <v>291</v>
      </c>
      <c r="E259" s="12" t="s">
        <v>308</v>
      </c>
      <c r="F259" s="20">
        <v>3.5</v>
      </c>
      <c r="G259" s="14">
        <v>8</v>
      </c>
      <c r="H259" s="15">
        <f t="shared" si="6"/>
        <v>28</v>
      </c>
      <c r="I259" s="16">
        <v>0.308</v>
      </c>
      <c r="J259" s="16">
        <f t="shared" si="7"/>
        <v>2.464</v>
      </c>
      <c r="K259" s="19" t="s">
        <v>18</v>
      </c>
      <c r="U259" s="2"/>
    </row>
    <row r="260" spans="1:21" s="1" customFormat="1" ht="25.5">
      <c r="A260" s="11">
        <v>2173</v>
      </c>
      <c r="B260" s="14" t="s">
        <v>422</v>
      </c>
      <c r="C260" s="12" t="s">
        <v>233</v>
      </c>
      <c r="D260" s="12" t="s">
        <v>291</v>
      </c>
      <c r="E260" s="12" t="s">
        <v>308</v>
      </c>
      <c r="F260" s="20">
        <v>18</v>
      </c>
      <c r="G260" s="14">
        <f>1</f>
        <v>1</v>
      </c>
      <c r="H260" s="15">
        <f aca="true" t="shared" si="8" ref="H260:H278">G260*F260</f>
        <v>18</v>
      </c>
      <c r="I260" s="16">
        <v>1.568</v>
      </c>
      <c r="J260" s="16">
        <f aca="true" t="shared" si="9" ref="J260:J278">G260*I260</f>
        <v>1.568</v>
      </c>
      <c r="K260" s="19" t="s">
        <v>18</v>
      </c>
      <c r="U260" s="2"/>
    </row>
    <row r="261" spans="1:21" s="1" customFormat="1" ht="25.5">
      <c r="A261" s="11">
        <v>2179</v>
      </c>
      <c r="B261" s="14" t="s">
        <v>423</v>
      </c>
      <c r="C261" s="12" t="s">
        <v>233</v>
      </c>
      <c r="D261" s="12" t="s">
        <v>291</v>
      </c>
      <c r="E261" s="12" t="s">
        <v>308</v>
      </c>
      <c r="F261" s="20">
        <v>18</v>
      </c>
      <c r="G261" s="14">
        <f>5</f>
        <v>5</v>
      </c>
      <c r="H261" s="15">
        <f t="shared" si="8"/>
        <v>90</v>
      </c>
      <c r="I261" s="16">
        <v>1.568</v>
      </c>
      <c r="J261" s="16">
        <f t="shared" si="9"/>
        <v>7.84</v>
      </c>
      <c r="K261" s="19" t="s">
        <v>18</v>
      </c>
      <c r="U261" s="2"/>
    </row>
    <row r="262" spans="1:21" s="1" customFormat="1" ht="12.75">
      <c r="A262" s="11">
        <v>2205</v>
      </c>
      <c r="B262" s="14" t="s">
        <v>424</v>
      </c>
      <c r="C262" s="24" t="s">
        <v>233</v>
      </c>
      <c r="D262" s="24" t="s">
        <v>20</v>
      </c>
      <c r="E262" s="24" t="s">
        <v>425</v>
      </c>
      <c r="F262" s="20">
        <v>120</v>
      </c>
      <c r="G262" s="14">
        <v>1</v>
      </c>
      <c r="H262" s="15">
        <f t="shared" si="8"/>
        <v>120</v>
      </c>
      <c r="I262" s="16">
        <v>8.96</v>
      </c>
      <c r="J262" s="16">
        <f t="shared" si="9"/>
        <v>8.96</v>
      </c>
      <c r="K262" s="19" t="s">
        <v>18</v>
      </c>
      <c r="U262" s="2"/>
    </row>
    <row r="263" spans="1:21" s="1" customFormat="1" ht="12.75">
      <c r="A263" s="11">
        <v>2207</v>
      </c>
      <c r="B263" s="14" t="s">
        <v>426</v>
      </c>
      <c r="C263" s="24" t="s">
        <v>74</v>
      </c>
      <c r="D263" s="12" t="s">
        <v>427</v>
      </c>
      <c r="E263" s="12" t="s">
        <v>98</v>
      </c>
      <c r="F263" s="20">
        <v>0.01</v>
      </c>
      <c r="G263" s="14">
        <f>240+250+250+248</f>
        <v>988</v>
      </c>
      <c r="H263" s="15">
        <f t="shared" si="8"/>
        <v>9.88</v>
      </c>
      <c r="I263" s="16">
        <v>0.008</v>
      </c>
      <c r="J263" s="16">
        <f t="shared" si="9"/>
        <v>7.904</v>
      </c>
      <c r="K263" s="19" t="s">
        <v>18</v>
      </c>
      <c r="U263" s="2"/>
    </row>
    <row r="264" spans="1:21" s="1" customFormat="1" ht="12.75">
      <c r="A264" s="11">
        <v>2210</v>
      </c>
      <c r="B264" s="14" t="s">
        <v>428</v>
      </c>
      <c r="C264" s="24" t="s">
        <v>279</v>
      </c>
      <c r="D264" s="24" t="s">
        <v>392</v>
      </c>
      <c r="E264" s="14" t="s">
        <v>281</v>
      </c>
      <c r="F264" s="20">
        <v>30</v>
      </c>
      <c r="G264" s="14">
        <f>321-2</f>
        <v>319</v>
      </c>
      <c r="H264" s="15">
        <f t="shared" si="8"/>
        <v>9570</v>
      </c>
      <c r="I264" s="16">
        <v>2.66</v>
      </c>
      <c r="J264" s="16">
        <f t="shared" si="9"/>
        <v>848.5400000000001</v>
      </c>
      <c r="K264" s="19"/>
      <c r="U264" s="2"/>
    </row>
    <row r="265" spans="1:21" s="1" customFormat="1" ht="12.75">
      <c r="A265" s="11">
        <v>2233</v>
      </c>
      <c r="B265" s="14" t="s">
        <v>429</v>
      </c>
      <c r="C265" s="12" t="s">
        <v>74</v>
      </c>
      <c r="D265" s="12" t="s">
        <v>430</v>
      </c>
      <c r="E265" s="14" t="s">
        <v>98</v>
      </c>
      <c r="F265" s="20">
        <v>34</v>
      </c>
      <c r="G265" s="14">
        <v>1</v>
      </c>
      <c r="H265" s="15">
        <f t="shared" si="8"/>
        <v>34</v>
      </c>
      <c r="I265" s="16">
        <v>3.1079999999999997</v>
      </c>
      <c r="J265" s="16">
        <f t="shared" si="9"/>
        <v>3.1079999999999997</v>
      </c>
      <c r="K265" s="19" t="s">
        <v>18</v>
      </c>
      <c r="U265" s="2"/>
    </row>
    <row r="266" spans="1:21" s="1" customFormat="1" ht="25.5">
      <c r="A266" s="11">
        <v>2305</v>
      </c>
      <c r="B266" s="14" t="s">
        <v>377</v>
      </c>
      <c r="C266" s="24" t="s">
        <v>233</v>
      </c>
      <c r="D266" s="12" t="s">
        <v>291</v>
      </c>
      <c r="E266" s="12" t="s">
        <v>431</v>
      </c>
      <c r="F266" s="20">
        <v>1.6</v>
      </c>
      <c r="G266" s="14">
        <v>129</v>
      </c>
      <c r="H266" s="15">
        <f t="shared" si="8"/>
        <v>206.4</v>
      </c>
      <c r="I266" s="16">
        <v>0.14</v>
      </c>
      <c r="J266" s="16">
        <f t="shared" si="9"/>
        <v>18.060000000000002</v>
      </c>
      <c r="K266" s="19" t="s">
        <v>18</v>
      </c>
      <c r="U266" s="2"/>
    </row>
    <row r="267" spans="1:21" s="1" customFormat="1" ht="25.5">
      <c r="A267" s="11">
        <v>2306</v>
      </c>
      <c r="B267" s="14" t="s">
        <v>379</v>
      </c>
      <c r="C267" s="24" t="s">
        <v>233</v>
      </c>
      <c r="D267" s="12" t="s">
        <v>291</v>
      </c>
      <c r="E267" s="12" t="s">
        <v>431</v>
      </c>
      <c r="F267" s="20">
        <v>1.6</v>
      </c>
      <c r="G267" s="14">
        <v>130</v>
      </c>
      <c r="H267" s="15">
        <f t="shared" si="8"/>
        <v>208</v>
      </c>
      <c r="I267" s="16">
        <v>0.14</v>
      </c>
      <c r="J267" s="16">
        <f t="shared" si="9"/>
        <v>18.200000000000003</v>
      </c>
      <c r="K267" s="19" t="s">
        <v>18</v>
      </c>
      <c r="U267" s="2"/>
    </row>
    <row r="268" spans="1:21" s="1" customFormat="1" ht="25.5">
      <c r="A268" s="11">
        <v>2307</v>
      </c>
      <c r="B268" s="14" t="s">
        <v>380</v>
      </c>
      <c r="C268" s="24" t="s">
        <v>233</v>
      </c>
      <c r="D268" s="12" t="s">
        <v>291</v>
      </c>
      <c r="E268" s="12" t="s">
        <v>431</v>
      </c>
      <c r="F268" s="20">
        <v>1.6</v>
      </c>
      <c r="G268" s="14">
        <f>136</f>
        <v>136</v>
      </c>
      <c r="H268" s="15">
        <f t="shared" si="8"/>
        <v>217.60000000000002</v>
      </c>
      <c r="I268" s="16">
        <v>0.14</v>
      </c>
      <c r="J268" s="16">
        <f t="shared" si="9"/>
        <v>19.040000000000003</v>
      </c>
      <c r="K268" s="19" t="s">
        <v>18</v>
      </c>
      <c r="U268" s="2"/>
    </row>
    <row r="269" spans="1:21" s="1" customFormat="1" ht="25.5">
      <c r="A269" s="11">
        <v>2308</v>
      </c>
      <c r="B269" s="14" t="s">
        <v>381</v>
      </c>
      <c r="C269" s="24" t="s">
        <v>233</v>
      </c>
      <c r="D269" s="12" t="s">
        <v>291</v>
      </c>
      <c r="E269" s="12" t="s">
        <v>431</v>
      </c>
      <c r="F269" s="20">
        <v>1.6</v>
      </c>
      <c r="G269" s="14">
        <v>131</v>
      </c>
      <c r="H269" s="15">
        <f t="shared" si="8"/>
        <v>209.60000000000002</v>
      </c>
      <c r="I269" s="16">
        <v>0.14</v>
      </c>
      <c r="J269" s="16">
        <f t="shared" si="9"/>
        <v>18.340000000000003</v>
      </c>
      <c r="K269" s="19" t="s">
        <v>18</v>
      </c>
      <c r="U269" s="2"/>
    </row>
    <row r="270" spans="1:21" s="1" customFormat="1" ht="25.5">
      <c r="A270" s="11">
        <v>2309</v>
      </c>
      <c r="B270" s="14" t="s">
        <v>382</v>
      </c>
      <c r="C270" s="24" t="s">
        <v>233</v>
      </c>
      <c r="D270" s="12" t="s">
        <v>291</v>
      </c>
      <c r="E270" s="12" t="s">
        <v>431</v>
      </c>
      <c r="F270" s="20">
        <v>1.6</v>
      </c>
      <c r="G270" s="14">
        <v>125</v>
      </c>
      <c r="H270" s="15">
        <f t="shared" si="8"/>
        <v>200</v>
      </c>
      <c r="I270" s="16">
        <v>0.14</v>
      </c>
      <c r="J270" s="16">
        <f t="shared" si="9"/>
        <v>17.5</v>
      </c>
      <c r="K270" s="19" t="s">
        <v>18</v>
      </c>
      <c r="U270" s="2"/>
    </row>
    <row r="271" spans="1:21" s="1" customFormat="1" ht="25.5">
      <c r="A271" s="11">
        <v>2311</v>
      </c>
      <c r="B271" s="14" t="s">
        <v>384</v>
      </c>
      <c r="C271" s="24" t="s">
        <v>233</v>
      </c>
      <c r="D271" s="12" t="s">
        <v>291</v>
      </c>
      <c r="E271" s="12" t="s">
        <v>431</v>
      </c>
      <c r="F271" s="20">
        <v>1.6</v>
      </c>
      <c r="G271" s="14">
        <f>131</f>
        <v>131</v>
      </c>
      <c r="H271" s="15">
        <f t="shared" si="8"/>
        <v>209.60000000000002</v>
      </c>
      <c r="I271" s="16">
        <v>0.14</v>
      </c>
      <c r="J271" s="16">
        <f t="shared" si="9"/>
        <v>18.340000000000003</v>
      </c>
      <c r="K271" s="19" t="s">
        <v>18</v>
      </c>
      <c r="U271" s="2"/>
    </row>
    <row r="272" spans="1:21" s="1" customFormat="1" ht="25.5">
      <c r="A272" s="11">
        <v>2312</v>
      </c>
      <c r="B272" s="14" t="s">
        <v>385</v>
      </c>
      <c r="C272" s="24" t="s">
        <v>233</v>
      </c>
      <c r="D272" s="12" t="s">
        <v>291</v>
      </c>
      <c r="E272" s="12" t="s">
        <v>431</v>
      </c>
      <c r="F272" s="20">
        <v>1.6</v>
      </c>
      <c r="G272" s="14">
        <f>130-130</f>
        <v>0</v>
      </c>
      <c r="H272" s="15">
        <f t="shared" si="8"/>
        <v>0</v>
      </c>
      <c r="I272" s="16">
        <v>0.14</v>
      </c>
      <c r="J272" s="16">
        <f t="shared" si="9"/>
        <v>0</v>
      </c>
      <c r="K272" s="19" t="s">
        <v>18</v>
      </c>
      <c r="U272" s="2"/>
    </row>
    <row r="273" spans="1:21" s="1" customFormat="1" ht="25.5">
      <c r="A273" s="11">
        <v>2313</v>
      </c>
      <c r="B273" s="14" t="s">
        <v>386</v>
      </c>
      <c r="C273" s="24" t="s">
        <v>233</v>
      </c>
      <c r="D273" s="12" t="s">
        <v>291</v>
      </c>
      <c r="E273" s="12" t="s">
        <v>431</v>
      </c>
      <c r="F273" s="20">
        <v>1.6</v>
      </c>
      <c r="G273" s="14">
        <v>144</v>
      </c>
      <c r="H273" s="15">
        <f t="shared" si="8"/>
        <v>230.4</v>
      </c>
      <c r="I273" s="16">
        <v>0.14</v>
      </c>
      <c r="J273" s="16">
        <f t="shared" si="9"/>
        <v>20.160000000000004</v>
      </c>
      <c r="K273" s="19" t="s">
        <v>18</v>
      </c>
      <c r="U273" s="2"/>
    </row>
    <row r="274" spans="1:21" s="1" customFormat="1" ht="21" customHeight="1">
      <c r="A274" s="11">
        <v>2314</v>
      </c>
      <c r="B274" s="14" t="s">
        <v>387</v>
      </c>
      <c r="C274" s="24" t="s">
        <v>233</v>
      </c>
      <c r="D274" s="12" t="s">
        <v>291</v>
      </c>
      <c r="E274" s="12" t="s">
        <v>431</v>
      </c>
      <c r="F274" s="20">
        <v>1.6</v>
      </c>
      <c r="G274" s="14">
        <v>132</v>
      </c>
      <c r="H274" s="15">
        <f t="shared" si="8"/>
        <v>211.20000000000002</v>
      </c>
      <c r="I274" s="16">
        <v>0.14</v>
      </c>
      <c r="J274" s="16">
        <f t="shared" si="9"/>
        <v>18.48</v>
      </c>
      <c r="K274" s="19" t="s">
        <v>18</v>
      </c>
      <c r="U274" s="2"/>
    </row>
    <row r="275" spans="1:21" s="1" customFormat="1" ht="25.5">
      <c r="A275" s="11">
        <v>2315</v>
      </c>
      <c r="B275" s="14" t="s">
        <v>388</v>
      </c>
      <c r="C275" s="24" t="s">
        <v>233</v>
      </c>
      <c r="D275" s="12" t="s">
        <v>291</v>
      </c>
      <c r="E275" s="12" t="s">
        <v>431</v>
      </c>
      <c r="F275" s="20">
        <v>1.6</v>
      </c>
      <c r="G275" s="14">
        <v>138</v>
      </c>
      <c r="H275" s="15">
        <f t="shared" si="8"/>
        <v>220.8</v>
      </c>
      <c r="I275" s="16">
        <v>0.14</v>
      </c>
      <c r="J275" s="16">
        <f t="shared" si="9"/>
        <v>19.32</v>
      </c>
      <c r="K275" s="19" t="s">
        <v>18</v>
      </c>
      <c r="U275" s="2"/>
    </row>
    <row r="276" spans="1:21" s="1" customFormat="1" ht="25.5">
      <c r="A276" s="11">
        <v>2316</v>
      </c>
      <c r="B276" s="14" t="s">
        <v>389</v>
      </c>
      <c r="C276" s="24" t="s">
        <v>233</v>
      </c>
      <c r="D276" s="12" t="s">
        <v>291</v>
      </c>
      <c r="E276" s="12" t="s">
        <v>431</v>
      </c>
      <c r="F276" s="20">
        <v>1.6</v>
      </c>
      <c r="G276" s="14">
        <v>130</v>
      </c>
      <c r="H276" s="15">
        <f t="shared" si="8"/>
        <v>208</v>
      </c>
      <c r="I276" s="16">
        <v>0.14</v>
      </c>
      <c r="J276" s="16">
        <f t="shared" si="9"/>
        <v>18.200000000000003</v>
      </c>
      <c r="K276" s="19" t="s">
        <v>18</v>
      </c>
      <c r="U276" s="2"/>
    </row>
    <row r="277" spans="1:21" s="1" customFormat="1" ht="25.5">
      <c r="A277" s="11">
        <v>2317</v>
      </c>
      <c r="B277" s="14" t="s">
        <v>390</v>
      </c>
      <c r="C277" s="24" t="s">
        <v>233</v>
      </c>
      <c r="D277" s="12" t="s">
        <v>291</v>
      </c>
      <c r="E277" s="12" t="s">
        <v>431</v>
      </c>
      <c r="F277" s="20">
        <v>1.6</v>
      </c>
      <c r="G277" s="14">
        <v>126</v>
      </c>
      <c r="H277" s="15">
        <f t="shared" si="8"/>
        <v>201.60000000000002</v>
      </c>
      <c r="I277" s="16">
        <v>0.14</v>
      </c>
      <c r="J277" s="16">
        <f t="shared" si="9"/>
        <v>17.64</v>
      </c>
      <c r="K277" s="19" t="s">
        <v>18</v>
      </c>
      <c r="U277" s="2"/>
    </row>
    <row r="278" spans="1:21" s="1" customFormat="1" ht="51">
      <c r="A278" s="11">
        <v>2321</v>
      </c>
      <c r="B278" s="14" t="s">
        <v>432</v>
      </c>
      <c r="C278" s="24" t="s">
        <v>279</v>
      </c>
      <c r="D278" s="14" t="s">
        <v>280</v>
      </c>
      <c r="E278" s="24" t="s">
        <v>281</v>
      </c>
      <c r="F278" s="20">
        <v>15.35</v>
      </c>
      <c r="G278" s="14">
        <f>31</f>
        <v>31</v>
      </c>
      <c r="H278" s="15">
        <f t="shared" si="8"/>
        <v>475.84999999999997</v>
      </c>
      <c r="I278" s="16">
        <v>1.26</v>
      </c>
      <c r="J278" s="16">
        <f t="shared" si="9"/>
        <v>39.06</v>
      </c>
      <c r="K278" s="19" t="s">
        <v>18</v>
      </c>
      <c r="U278" s="2"/>
    </row>
    <row r="279" spans="1:21" s="1" customFormat="1" ht="15">
      <c r="A279" s="224" t="s">
        <v>433</v>
      </c>
      <c r="B279" s="225"/>
      <c r="C279" s="225"/>
      <c r="D279" s="25"/>
      <c r="E279" s="25"/>
      <c r="F279" s="26"/>
      <c r="G279" s="26"/>
      <c r="H279" s="26"/>
      <c r="I279" s="27"/>
      <c r="J279" s="28">
        <f>SUM(J4:J278)</f>
        <v>4310.155400000001</v>
      </c>
      <c r="K279" s="29"/>
      <c r="U279" s="2"/>
    </row>
    <row r="280" spans="1:21" s="1" customFormat="1" ht="22.5" customHeight="1">
      <c r="A280" s="226" t="s">
        <v>434</v>
      </c>
      <c r="B280" s="227"/>
      <c r="C280" s="227"/>
      <c r="D280" s="227"/>
      <c r="E280" s="227"/>
      <c r="F280" s="227"/>
      <c r="G280" s="227"/>
      <c r="H280" s="227"/>
      <c r="I280" s="227"/>
      <c r="J280" s="228"/>
      <c r="K280" s="229"/>
      <c r="U280" s="2"/>
    </row>
    <row r="281" spans="1:20" s="1" customFormat="1" ht="60">
      <c r="A281" s="11"/>
      <c r="B281" s="31" t="s">
        <v>3</v>
      </c>
      <c r="C281" s="31" t="s">
        <v>435</v>
      </c>
      <c r="D281" s="31"/>
      <c r="E281" s="31"/>
      <c r="F281" s="32" t="s">
        <v>5</v>
      </c>
      <c r="G281" s="32" t="s">
        <v>6</v>
      </c>
      <c r="H281" s="31" t="s">
        <v>7</v>
      </c>
      <c r="I281" s="33" t="s">
        <v>8</v>
      </c>
      <c r="J281" s="33" t="s">
        <v>9</v>
      </c>
      <c r="K281" s="9" t="s">
        <v>10</v>
      </c>
      <c r="T281" s="2"/>
    </row>
    <row r="282" spans="1:22" s="1" customFormat="1" ht="12.75">
      <c r="A282" s="11">
        <v>90001</v>
      </c>
      <c r="B282" s="14" t="s">
        <v>436</v>
      </c>
      <c r="C282" s="14" t="s">
        <v>437</v>
      </c>
      <c r="D282" s="14" t="s">
        <v>438</v>
      </c>
      <c r="E282" s="14" t="s">
        <v>439</v>
      </c>
      <c r="F282" s="20">
        <v>4</v>
      </c>
      <c r="G282" s="14">
        <f>134</f>
        <v>134</v>
      </c>
      <c r="H282" s="15">
        <f aca="true" t="shared" si="10" ref="H282:H313">G282*F282</f>
        <v>536</v>
      </c>
      <c r="I282" s="27">
        <v>0.28</v>
      </c>
      <c r="J282" s="27">
        <f aca="true" t="shared" si="11" ref="J282:J313">G282*I282</f>
        <v>37.52</v>
      </c>
      <c r="K282" s="34" t="s">
        <v>15</v>
      </c>
      <c r="L282" s="35"/>
      <c r="V282" s="2"/>
    </row>
    <row r="283" spans="1:22" s="1" customFormat="1" ht="12.75">
      <c r="A283" s="11">
        <v>90002</v>
      </c>
      <c r="B283" s="14" t="s">
        <v>440</v>
      </c>
      <c r="C283" s="14" t="s">
        <v>437</v>
      </c>
      <c r="D283" s="14" t="s">
        <v>438</v>
      </c>
      <c r="E283" s="14" t="s">
        <v>439</v>
      </c>
      <c r="F283" s="20">
        <v>4</v>
      </c>
      <c r="G283" s="14">
        <f>98</f>
        <v>98</v>
      </c>
      <c r="H283" s="15">
        <f t="shared" si="10"/>
        <v>392</v>
      </c>
      <c r="I283" s="27">
        <v>0.28</v>
      </c>
      <c r="J283" s="27">
        <f t="shared" si="11"/>
        <v>27.44</v>
      </c>
      <c r="K283" s="19" t="s">
        <v>18</v>
      </c>
      <c r="L283" s="36"/>
      <c r="V283" s="2"/>
    </row>
    <row r="284" spans="1:22" s="1" customFormat="1" ht="12.75">
      <c r="A284" s="11">
        <v>90003</v>
      </c>
      <c r="B284" s="14" t="s">
        <v>441</v>
      </c>
      <c r="C284" s="14" t="s">
        <v>437</v>
      </c>
      <c r="D284" s="14" t="s">
        <v>438</v>
      </c>
      <c r="E284" s="14" t="s">
        <v>439</v>
      </c>
      <c r="F284" s="20">
        <v>4</v>
      </c>
      <c r="G284" s="14">
        <f>47+20+12</f>
        <v>79</v>
      </c>
      <c r="H284" s="15">
        <f t="shared" si="10"/>
        <v>316</v>
      </c>
      <c r="I284" s="27">
        <v>0.28</v>
      </c>
      <c r="J284" s="27">
        <f t="shared" si="11"/>
        <v>22.12</v>
      </c>
      <c r="K284" s="19" t="s">
        <v>18</v>
      </c>
      <c r="L284" s="36"/>
      <c r="V284" s="2"/>
    </row>
    <row r="285" spans="1:22" s="1" customFormat="1" ht="25.5">
      <c r="A285" s="11">
        <v>90007</v>
      </c>
      <c r="B285" s="14" t="s">
        <v>442</v>
      </c>
      <c r="C285" s="14" t="s">
        <v>437</v>
      </c>
      <c r="D285" s="14" t="s">
        <v>443</v>
      </c>
      <c r="E285" s="14" t="s">
        <v>444</v>
      </c>
      <c r="F285" s="20">
        <v>0.11</v>
      </c>
      <c r="G285" s="14">
        <f>3000+3000+2180</f>
        <v>8180</v>
      </c>
      <c r="H285" s="15">
        <f t="shared" si="10"/>
        <v>899.8</v>
      </c>
      <c r="I285" s="27">
        <v>0.008</v>
      </c>
      <c r="J285" s="27">
        <f t="shared" si="11"/>
        <v>65.44</v>
      </c>
      <c r="K285" s="19" t="s">
        <v>18</v>
      </c>
      <c r="L285" s="36"/>
      <c r="V285" s="2"/>
    </row>
    <row r="286" spans="1:22" s="1" customFormat="1" ht="12.75">
      <c r="A286" s="11">
        <v>90022</v>
      </c>
      <c r="B286" s="14" t="s">
        <v>445</v>
      </c>
      <c r="C286" s="14" t="s">
        <v>437</v>
      </c>
      <c r="D286" s="14" t="s">
        <v>438</v>
      </c>
      <c r="E286" s="14" t="s">
        <v>439</v>
      </c>
      <c r="F286" s="20">
        <v>4</v>
      </c>
      <c r="G286" s="14">
        <v>90</v>
      </c>
      <c r="H286" s="15">
        <f t="shared" si="10"/>
        <v>360</v>
      </c>
      <c r="I286" s="27">
        <v>0.28</v>
      </c>
      <c r="J286" s="27">
        <f t="shared" si="11"/>
        <v>25.200000000000003</v>
      </c>
      <c r="K286" s="19" t="s">
        <v>18</v>
      </c>
      <c r="L286" s="36"/>
      <c r="V286" s="2"/>
    </row>
    <row r="287" spans="1:22" s="1" customFormat="1" ht="12.75">
      <c r="A287" s="11">
        <v>90023</v>
      </c>
      <c r="B287" s="14" t="s">
        <v>446</v>
      </c>
      <c r="C287" s="14" t="s">
        <v>437</v>
      </c>
      <c r="D287" s="14" t="s">
        <v>438</v>
      </c>
      <c r="E287" s="14" t="s">
        <v>439</v>
      </c>
      <c r="F287" s="20">
        <v>4</v>
      </c>
      <c r="G287" s="14">
        <f>44</f>
        <v>44</v>
      </c>
      <c r="H287" s="15">
        <f t="shared" si="10"/>
        <v>176</v>
      </c>
      <c r="I287" s="27">
        <v>0.28</v>
      </c>
      <c r="J287" s="27">
        <f t="shared" si="11"/>
        <v>12.32</v>
      </c>
      <c r="K287" s="19" t="s">
        <v>18</v>
      </c>
      <c r="L287" s="36"/>
      <c r="V287" s="2"/>
    </row>
    <row r="288" spans="1:22" s="1" customFormat="1" ht="12.75">
      <c r="A288" s="11">
        <v>90024</v>
      </c>
      <c r="B288" s="14" t="s">
        <v>447</v>
      </c>
      <c r="C288" s="14" t="s">
        <v>437</v>
      </c>
      <c r="D288" s="14" t="s">
        <v>438</v>
      </c>
      <c r="E288" s="14" t="s">
        <v>439</v>
      </c>
      <c r="F288" s="20">
        <v>4</v>
      </c>
      <c r="G288" s="14">
        <f>23</f>
        <v>23</v>
      </c>
      <c r="H288" s="15">
        <f t="shared" si="10"/>
        <v>92</v>
      </c>
      <c r="I288" s="27">
        <v>0.28</v>
      </c>
      <c r="J288" s="27">
        <f t="shared" si="11"/>
        <v>6.44</v>
      </c>
      <c r="K288" s="19" t="s">
        <v>18</v>
      </c>
      <c r="L288" s="36"/>
      <c r="V288" s="2"/>
    </row>
    <row r="289" spans="1:22" s="1" customFormat="1" ht="12.75">
      <c r="A289" s="11">
        <v>90025</v>
      </c>
      <c r="B289" s="14" t="s">
        <v>448</v>
      </c>
      <c r="C289" s="14" t="s">
        <v>437</v>
      </c>
      <c r="D289" s="14" t="s">
        <v>438</v>
      </c>
      <c r="E289" s="14" t="s">
        <v>439</v>
      </c>
      <c r="F289" s="20">
        <v>3</v>
      </c>
      <c r="G289" s="14">
        <f>168</f>
        <v>168</v>
      </c>
      <c r="H289" s="15">
        <f t="shared" si="10"/>
        <v>504</v>
      </c>
      <c r="I289" s="27">
        <v>0.4</v>
      </c>
      <c r="J289" s="27">
        <f t="shared" si="11"/>
        <v>67.2</v>
      </c>
      <c r="K289" s="19" t="s">
        <v>18</v>
      </c>
      <c r="L289" s="36"/>
      <c r="V289" s="2"/>
    </row>
    <row r="290" spans="1:22" s="1" customFormat="1" ht="25.5">
      <c r="A290" s="11">
        <v>90027</v>
      </c>
      <c r="B290" s="14" t="s">
        <v>449</v>
      </c>
      <c r="C290" s="14" t="s">
        <v>437</v>
      </c>
      <c r="D290" s="14" t="s">
        <v>450</v>
      </c>
      <c r="E290" s="14" t="s">
        <v>451</v>
      </c>
      <c r="F290" s="20">
        <v>2.01</v>
      </c>
      <c r="G290" s="14">
        <f>46</f>
        <v>46</v>
      </c>
      <c r="H290" s="15">
        <f t="shared" si="10"/>
        <v>92.46</v>
      </c>
      <c r="I290" s="27">
        <v>0.2</v>
      </c>
      <c r="J290" s="27">
        <f t="shared" si="11"/>
        <v>9.200000000000001</v>
      </c>
      <c r="K290" s="19" t="s">
        <v>18</v>
      </c>
      <c r="L290" s="36"/>
      <c r="V290" s="2"/>
    </row>
    <row r="291" spans="1:22" s="1" customFormat="1" ht="25.5">
      <c r="A291" s="11">
        <v>90043</v>
      </c>
      <c r="B291" s="14" t="s">
        <v>452</v>
      </c>
      <c r="C291" s="14" t="s">
        <v>437</v>
      </c>
      <c r="D291" s="14" t="s">
        <v>443</v>
      </c>
      <c r="E291" s="14" t="s">
        <v>453</v>
      </c>
      <c r="F291" s="20">
        <v>1.03</v>
      </c>
      <c r="G291" s="14">
        <v>203</v>
      </c>
      <c r="H291" s="15">
        <f t="shared" si="10"/>
        <v>209.09</v>
      </c>
      <c r="I291" s="27">
        <v>0.098</v>
      </c>
      <c r="J291" s="27">
        <f t="shared" si="11"/>
        <v>19.894000000000002</v>
      </c>
      <c r="K291" s="19" t="s">
        <v>18</v>
      </c>
      <c r="L291" s="36"/>
      <c r="V291" s="2"/>
    </row>
    <row r="292" spans="1:22" s="1" customFormat="1" ht="25.5">
      <c r="A292" s="11">
        <v>90044</v>
      </c>
      <c r="B292" s="14" t="s">
        <v>454</v>
      </c>
      <c r="C292" s="14" t="s">
        <v>437</v>
      </c>
      <c r="D292" s="14" t="s">
        <v>443</v>
      </c>
      <c r="E292" s="14" t="s">
        <v>453</v>
      </c>
      <c r="F292" s="20">
        <v>1.03</v>
      </c>
      <c r="G292" s="14">
        <f>160+92+64</f>
        <v>316</v>
      </c>
      <c r="H292" s="15">
        <f t="shared" si="10"/>
        <v>325.48</v>
      </c>
      <c r="I292" s="27">
        <v>0.098</v>
      </c>
      <c r="J292" s="27">
        <f t="shared" si="11"/>
        <v>30.968</v>
      </c>
      <c r="K292" s="19" t="s">
        <v>18</v>
      </c>
      <c r="L292" s="36"/>
      <c r="V292" s="2"/>
    </row>
    <row r="293" spans="1:22" s="1" customFormat="1" ht="25.5">
      <c r="A293" s="11">
        <v>90045</v>
      </c>
      <c r="B293" s="14" t="s">
        <v>455</v>
      </c>
      <c r="C293" s="14" t="s">
        <v>437</v>
      </c>
      <c r="D293" s="14" t="s">
        <v>443</v>
      </c>
      <c r="E293" s="14" t="s">
        <v>453</v>
      </c>
      <c r="F293" s="20">
        <v>1.03</v>
      </c>
      <c r="G293" s="14">
        <f>70+100+70+70+34</f>
        <v>344</v>
      </c>
      <c r="H293" s="15">
        <f t="shared" si="10"/>
        <v>354.32</v>
      </c>
      <c r="I293" s="27">
        <v>0.098</v>
      </c>
      <c r="J293" s="27">
        <f t="shared" si="11"/>
        <v>33.712</v>
      </c>
      <c r="K293" s="19" t="s">
        <v>18</v>
      </c>
      <c r="L293" s="36"/>
      <c r="V293" s="2"/>
    </row>
    <row r="294" spans="1:22" s="1" customFormat="1" ht="25.5">
      <c r="A294" s="11">
        <v>90047</v>
      </c>
      <c r="B294" s="14" t="s">
        <v>456</v>
      </c>
      <c r="C294" s="14" t="s">
        <v>437</v>
      </c>
      <c r="D294" s="14" t="s">
        <v>443</v>
      </c>
      <c r="E294" s="14" t="s">
        <v>453</v>
      </c>
      <c r="F294" s="20">
        <v>1.89</v>
      </c>
      <c r="G294" s="14">
        <f>127+140+94</f>
        <v>361</v>
      </c>
      <c r="H294" s="15">
        <f t="shared" si="10"/>
        <v>682.29</v>
      </c>
      <c r="I294" s="27">
        <v>0.182</v>
      </c>
      <c r="J294" s="27">
        <f t="shared" si="11"/>
        <v>65.702</v>
      </c>
      <c r="K294" s="19" t="s">
        <v>18</v>
      </c>
      <c r="L294" s="36"/>
      <c r="V294" s="2"/>
    </row>
    <row r="295" spans="1:22" s="1" customFormat="1" ht="25.5">
      <c r="A295" s="11">
        <v>90050</v>
      </c>
      <c r="B295" s="14" t="s">
        <v>457</v>
      </c>
      <c r="C295" s="14" t="s">
        <v>437</v>
      </c>
      <c r="D295" s="14" t="s">
        <v>443</v>
      </c>
      <c r="E295" s="14" t="s">
        <v>458</v>
      </c>
      <c r="F295" s="20">
        <v>1.96</v>
      </c>
      <c r="G295" s="14">
        <f>100+100</f>
        <v>200</v>
      </c>
      <c r="H295" s="15">
        <f t="shared" si="10"/>
        <v>392</v>
      </c>
      <c r="I295" s="27">
        <v>0.196</v>
      </c>
      <c r="J295" s="27">
        <f t="shared" si="11"/>
        <v>39.2</v>
      </c>
      <c r="K295" s="19" t="s">
        <v>18</v>
      </c>
      <c r="L295" s="36"/>
      <c r="V295" s="2"/>
    </row>
    <row r="296" spans="1:22" s="1" customFormat="1" ht="25.5">
      <c r="A296" s="11">
        <v>90051</v>
      </c>
      <c r="B296" s="14" t="s">
        <v>459</v>
      </c>
      <c r="C296" s="14" t="s">
        <v>437</v>
      </c>
      <c r="D296" s="14" t="s">
        <v>443</v>
      </c>
      <c r="E296" s="14" t="s">
        <v>458</v>
      </c>
      <c r="F296" s="20">
        <v>1.96</v>
      </c>
      <c r="G296" s="14">
        <f>100</f>
        <v>100</v>
      </c>
      <c r="H296" s="15">
        <f t="shared" si="10"/>
        <v>196</v>
      </c>
      <c r="I296" s="27">
        <v>0.196</v>
      </c>
      <c r="J296" s="27">
        <f t="shared" si="11"/>
        <v>19.6</v>
      </c>
      <c r="K296" s="19" t="s">
        <v>18</v>
      </c>
      <c r="L296" s="36"/>
      <c r="V296" s="2"/>
    </row>
    <row r="297" spans="1:22" s="1" customFormat="1" ht="25.5">
      <c r="A297" s="11">
        <v>90052</v>
      </c>
      <c r="B297" s="14" t="s">
        <v>460</v>
      </c>
      <c r="C297" s="14" t="s">
        <v>437</v>
      </c>
      <c r="D297" s="14" t="s">
        <v>443</v>
      </c>
      <c r="E297" s="14" t="s">
        <v>458</v>
      </c>
      <c r="F297" s="20">
        <v>1.96</v>
      </c>
      <c r="G297" s="14">
        <v>664</v>
      </c>
      <c r="H297" s="15">
        <f t="shared" si="10"/>
        <v>1301.44</v>
      </c>
      <c r="I297" s="27">
        <v>0.196</v>
      </c>
      <c r="J297" s="27">
        <f t="shared" si="11"/>
        <v>130.144</v>
      </c>
      <c r="K297" s="19" t="s">
        <v>18</v>
      </c>
      <c r="L297" s="36"/>
      <c r="V297" s="2"/>
    </row>
    <row r="298" spans="1:22" s="1" customFormat="1" ht="25.5">
      <c r="A298" s="11">
        <v>90053</v>
      </c>
      <c r="B298" s="14" t="s">
        <v>461</v>
      </c>
      <c r="C298" s="14" t="s">
        <v>437</v>
      </c>
      <c r="D298" s="14" t="s">
        <v>443</v>
      </c>
      <c r="E298" s="14" t="s">
        <v>458</v>
      </c>
      <c r="F298" s="20">
        <v>1.96</v>
      </c>
      <c r="G298" s="14">
        <f>100+100</f>
        <v>200</v>
      </c>
      <c r="H298" s="15">
        <f t="shared" si="10"/>
        <v>392</v>
      </c>
      <c r="I298" s="27">
        <v>0.196</v>
      </c>
      <c r="J298" s="27">
        <f t="shared" si="11"/>
        <v>39.2</v>
      </c>
      <c r="K298" s="19" t="s">
        <v>18</v>
      </c>
      <c r="L298" s="36"/>
      <c r="V298" s="2"/>
    </row>
    <row r="299" spans="1:22" s="1" customFormat="1" ht="25.5">
      <c r="A299" s="11">
        <v>90054</v>
      </c>
      <c r="B299" s="14" t="s">
        <v>462</v>
      </c>
      <c r="C299" s="14" t="s">
        <v>437</v>
      </c>
      <c r="D299" s="14" t="s">
        <v>443</v>
      </c>
      <c r="E299" s="14" t="s">
        <v>458</v>
      </c>
      <c r="F299" s="20">
        <v>1.96</v>
      </c>
      <c r="G299" s="14">
        <f>100+96+100</f>
        <v>296</v>
      </c>
      <c r="H299" s="15">
        <f t="shared" si="10"/>
        <v>580.16</v>
      </c>
      <c r="I299" s="27">
        <v>0.196</v>
      </c>
      <c r="J299" s="27">
        <f t="shared" si="11"/>
        <v>58.016000000000005</v>
      </c>
      <c r="K299" s="19" t="s">
        <v>18</v>
      </c>
      <c r="L299" s="36"/>
      <c r="V299" s="2"/>
    </row>
    <row r="300" spans="1:22" s="1" customFormat="1" ht="12.75">
      <c r="A300" s="11">
        <v>90059</v>
      </c>
      <c r="B300" s="14" t="s">
        <v>463</v>
      </c>
      <c r="C300" s="14" t="s">
        <v>437</v>
      </c>
      <c r="D300" s="14" t="s">
        <v>438</v>
      </c>
      <c r="E300" s="14" t="s">
        <v>464</v>
      </c>
      <c r="F300" s="20">
        <v>6</v>
      </c>
      <c r="G300" s="14">
        <f>37</f>
        <v>37</v>
      </c>
      <c r="H300" s="15">
        <f t="shared" si="10"/>
        <v>222</v>
      </c>
      <c r="I300" s="27">
        <v>0.5880000000000001</v>
      </c>
      <c r="J300" s="27">
        <f t="shared" si="11"/>
        <v>21.756000000000004</v>
      </c>
      <c r="K300" s="19" t="s">
        <v>18</v>
      </c>
      <c r="L300" s="36"/>
      <c r="V300" s="2"/>
    </row>
    <row r="301" spans="1:22" s="1" customFormat="1" ht="25.5">
      <c r="A301" s="11">
        <v>90079</v>
      </c>
      <c r="B301" s="14" t="s">
        <v>465</v>
      </c>
      <c r="C301" s="14" t="s">
        <v>437</v>
      </c>
      <c r="D301" s="14" t="s">
        <v>450</v>
      </c>
      <c r="E301" s="14" t="s">
        <v>466</v>
      </c>
      <c r="F301" s="20">
        <v>1.96</v>
      </c>
      <c r="G301" s="14">
        <f>48</f>
        <v>48</v>
      </c>
      <c r="H301" s="15">
        <f t="shared" si="10"/>
        <v>94.08</v>
      </c>
      <c r="I301" s="27">
        <v>0.196</v>
      </c>
      <c r="J301" s="27">
        <f t="shared" si="11"/>
        <v>9.408000000000001</v>
      </c>
      <c r="K301" s="19" t="s">
        <v>18</v>
      </c>
      <c r="L301" s="36"/>
      <c r="V301" s="2"/>
    </row>
    <row r="302" spans="1:22" s="1" customFormat="1" ht="12.75">
      <c r="A302" s="11">
        <v>90083</v>
      </c>
      <c r="B302" s="14" t="s">
        <v>467</v>
      </c>
      <c r="C302" s="14" t="s">
        <v>437</v>
      </c>
      <c r="D302" s="14" t="s">
        <v>468</v>
      </c>
      <c r="E302" s="14" t="s">
        <v>469</v>
      </c>
      <c r="F302" s="20">
        <v>2.3</v>
      </c>
      <c r="G302" s="14">
        <v>75</v>
      </c>
      <c r="H302" s="15">
        <f t="shared" si="10"/>
        <v>172.5</v>
      </c>
      <c r="I302" s="27">
        <v>0.22400000000000003</v>
      </c>
      <c r="J302" s="27">
        <f t="shared" si="11"/>
        <v>16.8</v>
      </c>
      <c r="K302" s="19" t="s">
        <v>18</v>
      </c>
      <c r="L302" s="36"/>
      <c r="V302" s="2"/>
    </row>
    <row r="303" spans="1:22" s="1" customFormat="1" ht="25.5">
      <c r="A303" s="11">
        <v>90085</v>
      </c>
      <c r="B303" s="14" t="s">
        <v>470</v>
      </c>
      <c r="C303" s="14" t="s">
        <v>437</v>
      </c>
      <c r="D303" s="14" t="s">
        <v>450</v>
      </c>
      <c r="E303" s="14" t="s">
        <v>471</v>
      </c>
      <c r="F303" s="20">
        <v>45</v>
      </c>
      <c r="G303" s="14">
        <f>10-1-9</f>
        <v>0</v>
      </c>
      <c r="H303" s="15">
        <f t="shared" si="10"/>
        <v>0</v>
      </c>
      <c r="I303" s="27">
        <v>3.668</v>
      </c>
      <c r="J303" s="27">
        <f t="shared" si="11"/>
        <v>0</v>
      </c>
      <c r="K303" s="19" t="s">
        <v>18</v>
      </c>
      <c r="L303" s="36"/>
      <c r="V303" s="2"/>
    </row>
    <row r="304" spans="1:22" s="1" customFormat="1" ht="25.5">
      <c r="A304" s="11">
        <v>90092</v>
      </c>
      <c r="B304" s="14" t="s">
        <v>472</v>
      </c>
      <c r="C304" s="14" t="s">
        <v>437</v>
      </c>
      <c r="D304" s="14" t="s">
        <v>438</v>
      </c>
      <c r="E304" s="14" t="s">
        <v>473</v>
      </c>
      <c r="F304" s="20">
        <v>7.1</v>
      </c>
      <c r="G304" s="14">
        <f>37</f>
        <v>37</v>
      </c>
      <c r="H304" s="15">
        <f t="shared" si="10"/>
        <v>262.7</v>
      </c>
      <c r="I304" s="27">
        <v>0.6719999999999999</v>
      </c>
      <c r="J304" s="27">
        <f t="shared" si="11"/>
        <v>24.863999999999997</v>
      </c>
      <c r="K304" s="19" t="s">
        <v>18</v>
      </c>
      <c r="L304" s="36"/>
      <c r="V304" s="2"/>
    </row>
    <row r="305" spans="1:22" s="1" customFormat="1" ht="25.5">
      <c r="A305" s="11">
        <v>90094</v>
      </c>
      <c r="B305" s="14" t="s">
        <v>474</v>
      </c>
      <c r="C305" s="14" t="s">
        <v>437</v>
      </c>
      <c r="D305" s="14" t="s">
        <v>438</v>
      </c>
      <c r="E305" s="14" t="s">
        <v>473</v>
      </c>
      <c r="F305" s="20">
        <v>6.45</v>
      </c>
      <c r="G305" s="14">
        <f>18</f>
        <v>18</v>
      </c>
      <c r="H305" s="15">
        <f t="shared" si="10"/>
        <v>116.10000000000001</v>
      </c>
      <c r="I305" s="27">
        <v>0.6439999999999999</v>
      </c>
      <c r="J305" s="27">
        <f t="shared" si="11"/>
        <v>11.591999999999999</v>
      </c>
      <c r="K305" s="19" t="s">
        <v>18</v>
      </c>
      <c r="L305" s="36"/>
      <c r="V305" s="2"/>
    </row>
    <row r="306" spans="1:22" s="1" customFormat="1" ht="25.5">
      <c r="A306" s="11">
        <v>90098</v>
      </c>
      <c r="B306" s="14" t="s">
        <v>475</v>
      </c>
      <c r="C306" s="14" t="s">
        <v>437</v>
      </c>
      <c r="D306" s="14" t="s">
        <v>450</v>
      </c>
      <c r="E306" s="14" t="s">
        <v>476</v>
      </c>
      <c r="F306" s="20">
        <v>20.2</v>
      </c>
      <c r="G306" s="14">
        <f>7+6+5</f>
        <v>18</v>
      </c>
      <c r="H306" s="15">
        <f t="shared" si="10"/>
        <v>363.59999999999997</v>
      </c>
      <c r="I306" s="27">
        <v>1.904</v>
      </c>
      <c r="J306" s="27">
        <f t="shared" si="11"/>
        <v>34.272</v>
      </c>
      <c r="K306" s="19" t="s">
        <v>18</v>
      </c>
      <c r="L306" s="36"/>
      <c r="V306" s="2"/>
    </row>
    <row r="307" spans="1:22" s="1" customFormat="1" ht="12.75">
      <c r="A307" s="11">
        <v>90128</v>
      </c>
      <c r="B307" s="14" t="s">
        <v>477</v>
      </c>
      <c r="C307" s="14" t="s">
        <v>478</v>
      </c>
      <c r="D307" s="14" t="s">
        <v>479</v>
      </c>
      <c r="E307" s="14" t="s">
        <v>480</v>
      </c>
      <c r="F307" s="20">
        <v>86</v>
      </c>
      <c r="G307" s="14">
        <f>1</f>
        <v>1</v>
      </c>
      <c r="H307" s="15">
        <f t="shared" si="10"/>
        <v>86</v>
      </c>
      <c r="I307" s="27">
        <v>6.72</v>
      </c>
      <c r="J307" s="27">
        <f t="shared" si="11"/>
        <v>6.72</v>
      </c>
      <c r="K307" s="19" t="s">
        <v>18</v>
      </c>
      <c r="L307" s="36"/>
      <c r="V307" s="2"/>
    </row>
    <row r="308" spans="1:22" s="1" customFormat="1" ht="12.75">
      <c r="A308" s="11">
        <v>90130</v>
      </c>
      <c r="B308" s="14" t="s">
        <v>481</v>
      </c>
      <c r="C308" s="14" t="s">
        <v>478</v>
      </c>
      <c r="D308" s="14" t="s">
        <v>479</v>
      </c>
      <c r="E308" s="14" t="s">
        <v>482</v>
      </c>
      <c r="F308" s="20">
        <v>63</v>
      </c>
      <c r="G308" s="14">
        <f>9</f>
        <v>9</v>
      </c>
      <c r="H308" s="15">
        <f t="shared" si="10"/>
        <v>567</v>
      </c>
      <c r="I308" s="27">
        <v>5.32</v>
      </c>
      <c r="J308" s="27">
        <f t="shared" si="11"/>
        <v>47.88</v>
      </c>
      <c r="K308" s="19" t="s">
        <v>18</v>
      </c>
      <c r="L308" s="36"/>
      <c r="V308" s="2"/>
    </row>
    <row r="309" spans="1:22" s="1" customFormat="1" ht="12.75">
      <c r="A309" s="11">
        <v>90132</v>
      </c>
      <c r="B309" s="14" t="s">
        <v>483</v>
      </c>
      <c r="C309" s="14" t="s">
        <v>478</v>
      </c>
      <c r="D309" s="14" t="s">
        <v>479</v>
      </c>
      <c r="E309" s="14" t="s">
        <v>484</v>
      </c>
      <c r="F309" s="20">
        <v>38</v>
      </c>
      <c r="G309" s="14">
        <f>18</f>
        <v>18</v>
      </c>
      <c r="H309" s="15">
        <f t="shared" si="10"/>
        <v>684</v>
      </c>
      <c r="I309" s="37">
        <v>3.3879999999999995</v>
      </c>
      <c r="J309" s="27">
        <f t="shared" si="11"/>
        <v>60.98399999999999</v>
      </c>
      <c r="K309" s="19"/>
      <c r="L309" s="36"/>
      <c r="V309" s="2"/>
    </row>
    <row r="310" spans="1:22" s="1" customFormat="1" ht="12.75">
      <c r="A310" s="11">
        <v>90136</v>
      </c>
      <c r="B310" s="14" t="s">
        <v>485</v>
      </c>
      <c r="C310" s="14" t="s">
        <v>478</v>
      </c>
      <c r="D310" s="14" t="s">
        <v>479</v>
      </c>
      <c r="E310" s="14" t="s">
        <v>482</v>
      </c>
      <c r="F310" s="20">
        <v>62</v>
      </c>
      <c r="G310" s="14">
        <f>6</f>
        <v>6</v>
      </c>
      <c r="H310" s="15">
        <f t="shared" si="10"/>
        <v>372</v>
      </c>
      <c r="I310" s="27">
        <v>5.18</v>
      </c>
      <c r="J310" s="27">
        <f t="shared" si="11"/>
        <v>31.08</v>
      </c>
      <c r="K310" s="19"/>
      <c r="L310" s="36"/>
      <c r="V310" s="2"/>
    </row>
    <row r="311" spans="1:22" s="1" customFormat="1" ht="12.75">
      <c r="A311" s="11">
        <v>90137</v>
      </c>
      <c r="B311" s="14" t="s">
        <v>486</v>
      </c>
      <c r="C311" s="14" t="s">
        <v>478</v>
      </c>
      <c r="D311" s="14" t="s">
        <v>479</v>
      </c>
      <c r="E311" s="14" t="s">
        <v>480</v>
      </c>
      <c r="F311" s="20">
        <v>24</v>
      </c>
      <c r="G311" s="14">
        <f>5</f>
        <v>5</v>
      </c>
      <c r="H311" s="15">
        <f t="shared" si="10"/>
        <v>120</v>
      </c>
      <c r="I311" s="27">
        <v>2.38</v>
      </c>
      <c r="J311" s="27">
        <f t="shared" si="11"/>
        <v>11.899999999999999</v>
      </c>
      <c r="K311" s="19" t="s">
        <v>18</v>
      </c>
      <c r="L311" s="36"/>
      <c r="V311" s="2"/>
    </row>
    <row r="312" spans="1:22" s="1" customFormat="1" ht="12.75">
      <c r="A312" s="11">
        <v>90149</v>
      </c>
      <c r="B312" s="14" t="s">
        <v>487</v>
      </c>
      <c r="C312" s="14" t="s">
        <v>437</v>
      </c>
      <c r="D312" s="14" t="s">
        <v>438</v>
      </c>
      <c r="E312" s="14" t="s">
        <v>488</v>
      </c>
      <c r="F312" s="20">
        <v>6</v>
      </c>
      <c r="G312" s="14">
        <f>35</f>
        <v>35</v>
      </c>
      <c r="H312" s="15">
        <f t="shared" si="10"/>
        <v>210</v>
      </c>
      <c r="I312" s="27">
        <v>0.5880000000000001</v>
      </c>
      <c r="J312" s="27">
        <f t="shared" si="11"/>
        <v>20.580000000000002</v>
      </c>
      <c r="K312" s="19" t="s">
        <v>18</v>
      </c>
      <c r="L312" s="36"/>
      <c r="V312" s="2"/>
    </row>
    <row r="313" spans="1:22" s="1" customFormat="1" ht="12.75">
      <c r="A313" s="11">
        <v>90150</v>
      </c>
      <c r="B313" s="14" t="s">
        <v>489</v>
      </c>
      <c r="C313" s="14" t="s">
        <v>437</v>
      </c>
      <c r="D313" s="14" t="s">
        <v>438</v>
      </c>
      <c r="E313" s="14" t="s">
        <v>488</v>
      </c>
      <c r="F313" s="20">
        <v>6</v>
      </c>
      <c r="G313" s="14">
        <v>20</v>
      </c>
      <c r="H313" s="15">
        <f t="shared" si="10"/>
        <v>120</v>
      </c>
      <c r="I313" s="27">
        <v>0.5880000000000001</v>
      </c>
      <c r="J313" s="27">
        <f t="shared" si="11"/>
        <v>11.760000000000002</v>
      </c>
      <c r="K313" s="19" t="s">
        <v>18</v>
      </c>
      <c r="L313" s="36"/>
      <c r="V313" s="2"/>
    </row>
    <row r="314" spans="1:22" s="1" customFormat="1" ht="12.75">
      <c r="A314" s="11">
        <v>90151</v>
      </c>
      <c r="B314" s="14" t="s">
        <v>490</v>
      </c>
      <c r="C314" s="14" t="s">
        <v>478</v>
      </c>
      <c r="D314" s="14" t="s">
        <v>479</v>
      </c>
      <c r="E314" s="14" t="s">
        <v>480</v>
      </c>
      <c r="F314" s="20">
        <v>16.9</v>
      </c>
      <c r="G314" s="14">
        <f>35</f>
        <v>35</v>
      </c>
      <c r="H314" s="15">
        <f aca="true" t="shared" si="12" ref="H314:H345">G314*F314</f>
        <v>591.5</v>
      </c>
      <c r="I314" s="27">
        <v>1.6239999999999999</v>
      </c>
      <c r="J314" s="27">
        <f aca="true" t="shared" si="13" ref="J314:J345">G314*I314</f>
        <v>56.839999999999996</v>
      </c>
      <c r="K314" s="19" t="s">
        <v>18</v>
      </c>
      <c r="L314" s="36"/>
      <c r="V314" s="2"/>
    </row>
    <row r="315" spans="1:22" s="1" customFormat="1" ht="12.75">
      <c r="A315" s="11">
        <v>90208</v>
      </c>
      <c r="B315" s="14" t="s">
        <v>491</v>
      </c>
      <c r="C315" s="14" t="s">
        <v>478</v>
      </c>
      <c r="D315" s="14" t="s">
        <v>492</v>
      </c>
      <c r="E315" s="14" t="s">
        <v>493</v>
      </c>
      <c r="F315" s="20">
        <v>3.9</v>
      </c>
      <c r="G315" s="14">
        <f>45</f>
        <v>45</v>
      </c>
      <c r="H315" s="15">
        <f t="shared" si="12"/>
        <v>175.5</v>
      </c>
      <c r="I315" s="27">
        <v>0.364</v>
      </c>
      <c r="J315" s="27">
        <f t="shared" si="13"/>
        <v>16.38</v>
      </c>
      <c r="K315" s="19" t="s">
        <v>18</v>
      </c>
      <c r="L315" s="36"/>
      <c r="V315" s="2"/>
    </row>
    <row r="316" spans="1:22" s="1" customFormat="1" ht="12.75">
      <c r="A316" s="11">
        <v>90209</v>
      </c>
      <c r="B316" s="14" t="s">
        <v>494</v>
      </c>
      <c r="C316" s="14" t="s">
        <v>478</v>
      </c>
      <c r="D316" s="14" t="s">
        <v>492</v>
      </c>
      <c r="E316" s="14" t="s">
        <v>493</v>
      </c>
      <c r="F316" s="20">
        <v>8.2</v>
      </c>
      <c r="G316" s="14">
        <f>87</f>
        <v>87</v>
      </c>
      <c r="H316" s="15">
        <f t="shared" si="12"/>
        <v>713.4</v>
      </c>
      <c r="I316" s="27">
        <v>0.784</v>
      </c>
      <c r="J316" s="27">
        <f t="shared" si="13"/>
        <v>68.208</v>
      </c>
      <c r="K316" s="19" t="s">
        <v>18</v>
      </c>
      <c r="L316" s="36"/>
      <c r="V316" s="2"/>
    </row>
    <row r="317" spans="1:22" s="1" customFormat="1" ht="38.25">
      <c r="A317" s="11">
        <v>90240</v>
      </c>
      <c r="B317" s="14" t="s">
        <v>495</v>
      </c>
      <c r="C317" s="14" t="s">
        <v>496</v>
      </c>
      <c r="D317" s="14" t="s">
        <v>497</v>
      </c>
      <c r="E317" s="14" t="s">
        <v>498</v>
      </c>
      <c r="F317" s="20">
        <v>18</v>
      </c>
      <c r="G317" s="14">
        <f>24+60</f>
        <v>84</v>
      </c>
      <c r="H317" s="15">
        <f t="shared" si="12"/>
        <v>1512</v>
      </c>
      <c r="I317" s="27">
        <v>1.7079999999999997</v>
      </c>
      <c r="J317" s="27">
        <f t="shared" si="13"/>
        <v>143.47199999999998</v>
      </c>
      <c r="K317" s="19" t="s">
        <v>18</v>
      </c>
      <c r="L317" s="36"/>
      <c r="V317" s="2"/>
    </row>
    <row r="318" spans="1:22" s="1" customFormat="1" ht="38.25">
      <c r="A318" s="11">
        <v>90241</v>
      </c>
      <c r="B318" s="14" t="s">
        <v>499</v>
      </c>
      <c r="C318" s="14" t="s">
        <v>496</v>
      </c>
      <c r="D318" s="14" t="s">
        <v>497</v>
      </c>
      <c r="E318" s="14" t="s">
        <v>498</v>
      </c>
      <c r="F318" s="20">
        <v>35</v>
      </c>
      <c r="G318" s="14">
        <f>56</f>
        <v>56</v>
      </c>
      <c r="H318" s="15">
        <f t="shared" si="12"/>
        <v>1960</v>
      </c>
      <c r="I318" s="27">
        <v>3.22</v>
      </c>
      <c r="J318" s="27">
        <f t="shared" si="13"/>
        <v>180.32000000000002</v>
      </c>
      <c r="K318" s="19" t="s">
        <v>18</v>
      </c>
      <c r="L318" s="36"/>
      <c r="V318" s="2"/>
    </row>
    <row r="319" spans="1:22" s="1" customFormat="1" ht="12.75">
      <c r="A319" s="11">
        <v>90242</v>
      </c>
      <c r="B319" s="14" t="s">
        <v>500</v>
      </c>
      <c r="C319" s="14" t="s">
        <v>478</v>
      </c>
      <c r="D319" s="14" t="s">
        <v>479</v>
      </c>
      <c r="E319" s="14" t="s">
        <v>480</v>
      </c>
      <c r="F319" s="20">
        <v>17</v>
      </c>
      <c r="G319" s="14">
        <v>106</v>
      </c>
      <c r="H319" s="15">
        <f t="shared" si="12"/>
        <v>1802</v>
      </c>
      <c r="I319" s="27">
        <v>1.568</v>
      </c>
      <c r="J319" s="27">
        <f t="shared" si="13"/>
        <v>166.208</v>
      </c>
      <c r="K319" s="19" t="s">
        <v>18</v>
      </c>
      <c r="L319" s="36"/>
      <c r="V319" s="2"/>
    </row>
    <row r="320" spans="1:22" s="1" customFormat="1" ht="25.5">
      <c r="A320" s="11">
        <v>90257</v>
      </c>
      <c r="B320" s="14" t="s">
        <v>104</v>
      </c>
      <c r="C320" s="14" t="s">
        <v>437</v>
      </c>
      <c r="D320" s="14" t="s">
        <v>438</v>
      </c>
      <c r="E320" s="14" t="s">
        <v>473</v>
      </c>
      <c r="F320" s="20">
        <v>7.75</v>
      </c>
      <c r="G320" s="14">
        <f>21</f>
        <v>21</v>
      </c>
      <c r="H320" s="15">
        <f t="shared" si="12"/>
        <v>162.75</v>
      </c>
      <c r="I320" s="27">
        <v>0.616</v>
      </c>
      <c r="J320" s="27">
        <f t="shared" si="13"/>
        <v>12.936</v>
      </c>
      <c r="K320" s="19" t="s">
        <v>18</v>
      </c>
      <c r="L320" s="36"/>
      <c r="V320" s="2"/>
    </row>
    <row r="321" spans="1:22" s="1" customFormat="1" ht="25.5">
      <c r="A321" s="11">
        <v>90258</v>
      </c>
      <c r="B321" s="14" t="s">
        <v>105</v>
      </c>
      <c r="C321" s="14" t="s">
        <v>437</v>
      </c>
      <c r="D321" s="14" t="s">
        <v>438</v>
      </c>
      <c r="E321" s="14" t="s">
        <v>473</v>
      </c>
      <c r="F321" s="20">
        <v>6.4</v>
      </c>
      <c r="G321" s="14">
        <f>58</f>
        <v>58</v>
      </c>
      <c r="H321" s="15">
        <f t="shared" si="12"/>
        <v>371.20000000000005</v>
      </c>
      <c r="I321" s="27">
        <v>0.5880000000000001</v>
      </c>
      <c r="J321" s="27">
        <f t="shared" si="13"/>
        <v>34.104000000000006</v>
      </c>
      <c r="K321" s="19" t="s">
        <v>18</v>
      </c>
      <c r="L321" s="36"/>
      <c r="V321" s="2"/>
    </row>
    <row r="322" spans="1:22" s="1" customFormat="1" ht="12.75">
      <c r="A322" s="11">
        <v>90272</v>
      </c>
      <c r="B322" s="14" t="s">
        <v>106</v>
      </c>
      <c r="C322" s="14" t="s">
        <v>478</v>
      </c>
      <c r="D322" s="14" t="s">
        <v>479</v>
      </c>
      <c r="E322" s="14" t="s">
        <v>480</v>
      </c>
      <c r="F322" s="20">
        <v>16.9</v>
      </c>
      <c r="G322" s="14">
        <v>40</v>
      </c>
      <c r="H322" s="15">
        <f t="shared" si="12"/>
        <v>676</v>
      </c>
      <c r="I322" s="27">
        <v>1.6239999999999999</v>
      </c>
      <c r="J322" s="27">
        <f t="shared" si="13"/>
        <v>64.96</v>
      </c>
      <c r="K322" s="19" t="s">
        <v>18</v>
      </c>
      <c r="L322" s="36"/>
      <c r="V322" s="2"/>
    </row>
    <row r="323" spans="1:22" s="1" customFormat="1" ht="12.75">
      <c r="A323" s="11">
        <v>90273</v>
      </c>
      <c r="B323" s="14" t="s">
        <v>107</v>
      </c>
      <c r="C323" s="14" t="s">
        <v>478</v>
      </c>
      <c r="D323" s="14" t="s">
        <v>479</v>
      </c>
      <c r="E323" s="14" t="s">
        <v>480</v>
      </c>
      <c r="F323" s="20">
        <v>16.9</v>
      </c>
      <c r="G323" s="14">
        <f>50</f>
        <v>50</v>
      </c>
      <c r="H323" s="15">
        <f t="shared" si="12"/>
        <v>844.9999999999999</v>
      </c>
      <c r="I323" s="27">
        <v>1.6239999999999999</v>
      </c>
      <c r="J323" s="27">
        <f t="shared" si="13"/>
        <v>81.19999999999999</v>
      </c>
      <c r="K323" s="19" t="s">
        <v>18</v>
      </c>
      <c r="L323" s="36"/>
      <c r="V323" s="2"/>
    </row>
    <row r="324" spans="1:22" s="1" customFormat="1" ht="12.75">
      <c r="A324" s="11">
        <v>90276</v>
      </c>
      <c r="B324" s="14" t="s">
        <v>108</v>
      </c>
      <c r="C324" s="14" t="s">
        <v>109</v>
      </c>
      <c r="D324" s="14" t="s">
        <v>110</v>
      </c>
      <c r="E324" s="14" t="s">
        <v>111</v>
      </c>
      <c r="F324" s="20">
        <v>52.25</v>
      </c>
      <c r="G324" s="14">
        <v>1</v>
      </c>
      <c r="H324" s="15">
        <f t="shared" si="12"/>
        <v>52.25</v>
      </c>
      <c r="I324" s="27">
        <v>4.9</v>
      </c>
      <c r="J324" s="27">
        <f t="shared" si="13"/>
        <v>4.9</v>
      </c>
      <c r="K324" s="19" t="s">
        <v>18</v>
      </c>
      <c r="L324" s="36"/>
      <c r="V324" s="2"/>
    </row>
    <row r="325" spans="1:22" s="1" customFormat="1" ht="38.25">
      <c r="A325" s="11">
        <v>90286</v>
      </c>
      <c r="B325" s="14" t="s">
        <v>112</v>
      </c>
      <c r="C325" s="14" t="s">
        <v>109</v>
      </c>
      <c r="D325" s="14" t="s">
        <v>110</v>
      </c>
      <c r="E325" s="14" t="s">
        <v>111</v>
      </c>
      <c r="F325" s="20">
        <v>24.75</v>
      </c>
      <c r="G325" s="14">
        <f>9</f>
        <v>9</v>
      </c>
      <c r="H325" s="15">
        <f t="shared" si="12"/>
        <v>222.75</v>
      </c>
      <c r="I325" s="27">
        <v>2.38</v>
      </c>
      <c r="J325" s="27">
        <f t="shared" si="13"/>
        <v>21.419999999999998</v>
      </c>
      <c r="K325" s="19" t="s">
        <v>18</v>
      </c>
      <c r="L325" s="36"/>
      <c r="V325" s="2"/>
    </row>
    <row r="326" spans="1:22" s="1" customFormat="1" ht="12.75">
      <c r="A326" s="11">
        <v>90287</v>
      </c>
      <c r="B326" s="14" t="s">
        <v>113</v>
      </c>
      <c r="C326" s="14" t="s">
        <v>109</v>
      </c>
      <c r="D326" s="14" t="s">
        <v>110</v>
      </c>
      <c r="E326" s="14" t="s">
        <v>111</v>
      </c>
      <c r="F326" s="20">
        <v>30.25</v>
      </c>
      <c r="G326" s="14">
        <f>16</f>
        <v>16</v>
      </c>
      <c r="H326" s="15">
        <f t="shared" si="12"/>
        <v>484</v>
      </c>
      <c r="I326" s="27">
        <v>0.42</v>
      </c>
      <c r="J326" s="27">
        <f t="shared" si="13"/>
        <v>6.72</v>
      </c>
      <c r="K326" s="19" t="s">
        <v>18</v>
      </c>
      <c r="L326" s="36"/>
      <c r="V326" s="2"/>
    </row>
    <row r="327" spans="1:22" s="1" customFormat="1" ht="12.75">
      <c r="A327" s="11">
        <v>90310</v>
      </c>
      <c r="B327" s="14" t="s">
        <v>114</v>
      </c>
      <c r="C327" s="14" t="s">
        <v>109</v>
      </c>
      <c r="D327" s="14" t="s">
        <v>110</v>
      </c>
      <c r="E327" s="14" t="s">
        <v>111</v>
      </c>
      <c r="F327" s="20">
        <v>29</v>
      </c>
      <c r="G327" s="14">
        <f>38-20-12</f>
        <v>6</v>
      </c>
      <c r="H327" s="15">
        <f t="shared" si="12"/>
        <v>174</v>
      </c>
      <c r="I327" s="27">
        <v>2.7960000000000003</v>
      </c>
      <c r="J327" s="27">
        <f t="shared" si="13"/>
        <v>16.776000000000003</v>
      </c>
      <c r="K327" s="19" t="s">
        <v>18</v>
      </c>
      <c r="L327" s="36"/>
      <c r="V327" s="2"/>
    </row>
    <row r="328" spans="1:22" s="1" customFormat="1" ht="12.75">
      <c r="A328" s="11">
        <v>90316</v>
      </c>
      <c r="B328" s="14" t="s">
        <v>115</v>
      </c>
      <c r="C328" s="14" t="s">
        <v>109</v>
      </c>
      <c r="D328" s="14" t="s">
        <v>110</v>
      </c>
      <c r="E328" s="14" t="s">
        <v>116</v>
      </c>
      <c r="F328" s="20">
        <v>33.5</v>
      </c>
      <c r="G328" s="14">
        <f>12-12</f>
        <v>0</v>
      </c>
      <c r="H328" s="15">
        <f t="shared" si="12"/>
        <v>0</v>
      </c>
      <c r="I328" s="27">
        <v>3.22</v>
      </c>
      <c r="J328" s="27">
        <f t="shared" si="13"/>
        <v>0</v>
      </c>
      <c r="K328" s="19" t="s">
        <v>18</v>
      </c>
      <c r="L328" s="36"/>
      <c r="V328" s="2"/>
    </row>
    <row r="329" spans="1:22" s="1" customFormat="1" ht="12.75">
      <c r="A329" s="11">
        <v>90319</v>
      </c>
      <c r="B329" s="14" t="s">
        <v>117</v>
      </c>
      <c r="C329" s="14" t="s">
        <v>109</v>
      </c>
      <c r="D329" s="14" t="s">
        <v>110</v>
      </c>
      <c r="E329" s="14" t="s">
        <v>111</v>
      </c>
      <c r="F329" s="20">
        <v>13.15</v>
      </c>
      <c r="G329" s="14">
        <f>10+10+10+6-10-10-10</f>
        <v>6</v>
      </c>
      <c r="H329" s="15">
        <f t="shared" si="12"/>
        <v>78.9</v>
      </c>
      <c r="I329" s="27">
        <v>1.26</v>
      </c>
      <c r="J329" s="27">
        <f t="shared" si="13"/>
        <v>7.5600000000000005</v>
      </c>
      <c r="K329" s="19" t="s">
        <v>18</v>
      </c>
      <c r="L329" s="36"/>
      <c r="V329" s="2"/>
    </row>
    <row r="330" spans="1:22" s="1" customFormat="1" ht="12.75">
      <c r="A330" s="11">
        <v>52</v>
      </c>
      <c r="B330" s="14" t="s">
        <v>118</v>
      </c>
      <c r="C330" s="14" t="s">
        <v>109</v>
      </c>
      <c r="D330" s="14" t="s">
        <v>110</v>
      </c>
      <c r="E330" s="14" t="s">
        <v>111</v>
      </c>
      <c r="F330" s="20">
        <v>26.3</v>
      </c>
      <c r="G330" s="14">
        <v>52</v>
      </c>
      <c r="H330" s="15">
        <f t="shared" si="12"/>
        <v>1367.6000000000001</v>
      </c>
      <c r="I330" s="27">
        <v>2.5479999999999996</v>
      </c>
      <c r="J330" s="27">
        <f t="shared" si="13"/>
        <v>132.49599999999998</v>
      </c>
      <c r="K330" s="19" t="s">
        <v>18</v>
      </c>
      <c r="L330" s="36"/>
      <c r="V330" s="2"/>
    </row>
    <row r="331" spans="1:22" s="1" customFormat="1" ht="12.75">
      <c r="A331" s="11">
        <v>90324</v>
      </c>
      <c r="B331" s="14" t="s">
        <v>119</v>
      </c>
      <c r="C331" s="14" t="s">
        <v>109</v>
      </c>
      <c r="D331" s="14" t="s">
        <v>110</v>
      </c>
      <c r="E331" s="14" t="s">
        <v>116</v>
      </c>
      <c r="F331" s="20">
        <v>45.55</v>
      </c>
      <c r="G331" s="14">
        <f>50-15</f>
        <v>35</v>
      </c>
      <c r="H331" s="15">
        <f t="shared" si="12"/>
        <v>1594.25</v>
      </c>
      <c r="I331" s="27">
        <v>3.976</v>
      </c>
      <c r="J331" s="27">
        <f t="shared" si="13"/>
        <v>139.16</v>
      </c>
      <c r="K331" s="19" t="s">
        <v>18</v>
      </c>
      <c r="L331" s="36"/>
      <c r="V331" s="2"/>
    </row>
    <row r="332" spans="1:22" s="1" customFormat="1" ht="12.75">
      <c r="A332" s="11">
        <v>90329</v>
      </c>
      <c r="B332" s="14" t="s">
        <v>120</v>
      </c>
      <c r="C332" s="14" t="s">
        <v>109</v>
      </c>
      <c r="D332" s="14" t="s">
        <v>110</v>
      </c>
      <c r="E332" s="14" t="s">
        <v>111</v>
      </c>
      <c r="F332" s="20">
        <v>40.19</v>
      </c>
      <c r="G332" s="14">
        <f>170-10-1-2</f>
        <v>157</v>
      </c>
      <c r="H332" s="15">
        <f t="shared" si="12"/>
        <v>6309.83</v>
      </c>
      <c r="I332" s="27">
        <v>3.3879999999999995</v>
      </c>
      <c r="J332" s="27">
        <f t="shared" si="13"/>
        <v>531.9159999999999</v>
      </c>
      <c r="K332" s="19" t="s">
        <v>18</v>
      </c>
      <c r="L332" s="36"/>
      <c r="V332" s="2"/>
    </row>
    <row r="333" spans="1:22" s="1" customFormat="1" ht="12.75">
      <c r="A333" s="11">
        <v>90330</v>
      </c>
      <c r="B333" s="14" t="s">
        <v>120</v>
      </c>
      <c r="C333" s="14" t="s">
        <v>109</v>
      </c>
      <c r="D333" s="14" t="s">
        <v>110</v>
      </c>
      <c r="E333" s="14" t="s">
        <v>121</v>
      </c>
      <c r="F333" s="20">
        <v>40.19</v>
      </c>
      <c r="G333" s="14">
        <f>124-4-1</f>
        <v>119</v>
      </c>
      <c r="H333" s="15">
        <f t="shared" si="12"/>
        <v>4782.61</v>
      </c>
      <c r="I333" s="27">
        <v>3.3879999999999995</v>
      </c>
      <c r="J333" s="27">
        <f t="shared" si="13"/>
        <v>403.1719999999999</v>
      </c>
      <c r="K333" s="19" t="s">
        <v>18</v>
      </c>
      <c r="L333" s="36"/>
      <c r="V333" s="2"/>
    </row>
    <row r="334" spans="1:22" s="1" customFormat="1" ht="25.5">
      <c r="A334" s="11">
        <v>90337</v>
      </c>
      <c r="B334" s="14" t="s">
        <v>122</v>
      </c>
      <c r="C334" s="14" t="s">
        <v>109</v>
      </c>
      <c r="D334" s="14" t="s">
        <v>110</v>
      </c>
      <c r="E334" s="14" t="s">
        <v>123</v>
      </c>
      <c r="F334" s="20">
        <v>17.23</v>
      </c>
      <c r="G334" s="14">
        <f>5*6</f>
        <v>30</v>
      </c>
      <c r="H334" s="15">
        <f t="shared" si="12"/>
        <v>516.9</v>
      </c>
      <c r="I334" s="27">
        <v>1.456</v>
      </c>
      <c r="J334" s="27">
        <f t="shared" si="13"/>
        <v>43.68</v>
      </c>
      <c r="K334" s="19" t="s">
        <v>18</v>
      </c>
      <c r="L334" s="36"/>
      <c r="V334" s="2"/>
    </row>
    <row r="335" spans="1:22" s="1" customFormat="1" ht="12.75">
      <c r="A335" s="11">
        <v>90339</v>
      </c>
      <c r="B335" s="14" t="s">
        <v>124</v>
      </c>
      <c r="C335" s="14" t="s">
        <v>109</v>
      </c>
      <c r="D335" s="14" t="s">
        <v>110</v>
      </c>
      <c r="E335" s="14" t="s">
        <v>111</v>
      </c>
      <c r="F335" s="20">
        <v>28.71</v>
      </c>
      <c r="G335" s="14">
        <v>76</v>
      </c>
      <c r="H335" s="15">
        <f t="shared" si="12"/>
        <v>2181.96</v>
      </c>
      <c r="I335" s="27">
        <v>2.856</v>
      </c>
      <c r="J335" s="27">
        <f t="shared" si="13"/>
        <v>217.05599999999998</v>
      </c>
      <c r="K335" s="19" t="s">
        <v>18</v>
      </c>
      <c r="L335" s="36"/>
      <c r="V335" s="2"/>
    </row>
    <row r="336" spans="1:22" s="1" customFormat="1" ht="25.5">
      <c r="A336" s="11">
        <v>90341</v>
      </c>
      <c r="B336" s="14" t="s">
        <v>125</v>
      </c>
      <c r="C336" s="14" t="s">
        <v>109</v>
      </c>
      <c r="D336" s="14" t="s">
        <v>110</v>
      </c>
      <c r="E336" s="14" t="s">
        <v>111</v>
      </c>
      <c r="F336" s="20">
        <v>45.94</v>
      </c>
      <c r="G336" s="14">
        <f>2-2</f>
        <v>0</v>
      </c>
      <c r="H336" s="15">
        <f t="shared" si="12"/>
        <v>0</v>
      </c>
      <c r="I336" s="27">
        <v>4.536</v>
      </c>
      <c r="J336" s="27">
        <f t="shared" si="13"/>
        <v>0</v>
      </c>
      <c r="K336" s="19" t="s">
        <v>18</v>
      </c>
      <c r="L336" s="36"/>
      <c r="V336" s="2"/>
    </row>
    <row r="337" spans="1:22" s="1" customFormat="1" ht="25.5">
      <c r="A337" s="11">
        <v>90343</v>
      </c>
      <c r="B337" s="14" t="s">
        <v>126</v>
      </c>
      <c r="C337" s="14" t="s">
        <v>109</v>
      </c>
      <c r="D337" s="14" t="s">
        <v>110</v>
      </c>
      <c r="E337" s="14" t="s">
        <v>127</v>
      </c>
      <c r="F337" s="20">
        <v>34.45</v>
      </c>
      <c r="G337" s="14">
        <f>13</f>
        <v>13</v>
      </c>
      <c r="H337" s="15">
        <f t="shared" si="12"/>
        <v>447.85</v>
      </c>
      <c r="I337" s="27">
        <v>3.4440000000000004</v>
      </c>
      <c r="J337" s="27">
        <f t="shared" si="13"/>
        <v>44.772000000000006</v>
      </c>
      <c r="K337" s="19" t="s">
        <v>18</v>
      </c>
      <c r="L337" s="36"/>
      <c r="V337" s="2"/>
    </row>
    <row r="338" spans="1:22" s="1" customFormat="1" ht="12.75">
      <c r="A338" s="11">
        <v>90349</v>
      </c>
      <c r="B338" s="14" t="s">
        <v>128</v>
      </c>
      <c r="C338" s="14" t="s">
        <v>478</v>
      </c>
      <c r="D338" s="14" t="s">
        <v>479</v>
      </c>
      <c r="E338" s="14" t="s">
        <v>484</v>
      </c>
      <c r="F338" s="20">
        <v>49</v>
      </c>
      <c r="G338" s="14">
        <f>4</f>
        <v>4</v>
      </c>
      <c r="H338" s="15">
        <f t="shared" si="12"/>
        <v>196</v>
      </c>
      <c r="I338" s="27">
        <v>4.9</v>
      </c>
      <c r="J338" s="27">
        <f t="shared" si="13"/>
        <v>19.6</v>
      </c>
      <c r="K338" s="19" t="s">
        <v>18</v>
      </c>
      <c r="L338" s="36"/>
      <c r="V338" s="2"/>
    </row>
    <row r="339" spans="1:22" s="1" customFormat="1" ht="38.25">
      <c r="A339" s="11">
        <v>90410</v>
      </c>
      <c r="B339" s="14" t="s">
        <v>129</v>
      </c>
      <c r="C339" s="14" t="s">
        <v>109</v>
      </c>
      <c r="D339" s="38" t="s">
        <v>359</v>
      </c>
      <c r="E339" s="38" t="s">
        <v>111</v>
      </c>
      <c r="F339" s="20">
        <v>6.88</v>
      </c>
      <c r="G339" s="14">
        <f>60+60+50</f>
        <v>170</v>
      </c>
      <c r="H339" s="15">
        <f t="shared" si="12"/>
        <v>1169.6</v>
      </c>
      <c r="I339" s="27">
        <v>0.616</v>
      </c>
      <c r="J339" s="27">
        <f t="shared" si="13"/>
        <v>104.72</v>
      </c>
      <c r="K339" s="19" t="s">
        <v>18</v>
      </c>
      <c r="L339" s="36"/>
      <c r="V339" s="2"/>
    </row>
    <row r="340" spans="1:22" s="1" customFormat="1" ht="25.5">
      <c r="A340" s="11">
        <v>90455</v>
      </c>
      <c r="B340" s="14" t="s">
        <v>130</v>
      </c>
      <c r="C340" s="14" t="s">
        <v>437</v>
      </c>
      <c r="D340" s="14" t="s">
        <v>443</v>
      </c>
      <c r="E340" s="14" t="s">
        <v>131</v>
      </c>
      <c r="F340" s="20">
        <v>12.04</v>
      </c>
      <c r="G340" s="14">
        <f>14+14+16+11+25+25+10+16+9</f>
        <v>140</v>
      </c>
      <c r="H340" s="15">
        <f t="shared" si="12"/>
        <v>1685.6</v>
      </c>
      <c r="I340" s="27">
        <v>1.1480000000000001</v>
      </c>
      <c r="J340" s="27">
        <f t="shared" si="13"/>
        <v>160.72000000000003</v>
      </c>
      <c r="K340" s="19" t="s">
        <v>18</v>
      </c>
      <c r="L340" s="36"/>
      <c r="V340" s="2"/>
    </row>
    <row r="341" spans="1:22" s="1" customFormat="1" ht="25.5">
      <c r="A341" s="11">
        <v>90474</v>
      </c>
      <c r="B341" s="14" t="s">
        <v>132</v>
      </c>
      <c r="C341" s="14" t="s">
        <v>437</v>
      </c>
      <c r="D341" s="14" t="s">
        <v>450</v>
      </c>
      <c r="E341" s="38" t="s">
        <v>133</v>
      </c>
      <c r="F341" s="20">
        <v>27.5</v>
      </c>
      <c r="G341" s="14">
        <f>2</f>
        <v>2</v>
      </c>
      <c r="H341" s="15">
        <f t="shared" si="12"/>
        <v>55</v>
      </c>
      <c r="I341" s="27">
        <v>2.6879999999999997</v>
      </c>
      <c r="J341" s="27">
        <f t="shared" si="13"/>
        <v>5.3759999999999994</v>
      </c>
      <c r="K341" s="19" t="s">
        <v>18</v>
      </c>
      <c r="L341" s="36"/>
      <c r="V341" s="2"/>
    </row>
    <row r="342" spans="1:22" s="1" customFormat="1" ht="12.75">
      <c r="A342" s="11">
        <v>90523</v>
      </c>
      <c r="B342" s="14" t="s">
        <v>134</v>
      </c>
      <c r="C342" s="14" t="s">
        <v>437</v>
      </c>
      <c r="D342" s="14" t="s">
        <v>438</v>
      </c>
      <c r="E342" s="14" t="s">
        <v>135</v>
      </c>
      <c r="F342" s="20">
        <v>32.5</v>
      </c>
      <c r="G342" s="14">
        <f>9</f>
        <v>9</v>
      </c>
      <c r="H342" s="15">
        <f t="shared" si="12"/>
        <v>292.5</v>
      </c>
      <c r="I342" s="27">
        <v>3.136</v>
      </c>
      <c r="J342" s="27">
        <f t="shared" si="13"/>
        <v>28.224</v>
      </c>
      <c r="K342" s="19" t="s">
        <v>18</v>
      </c>
      <c r="L342" s="36"/>
      <c r="V342" s="2"/>
    </row>
    <row r="343" spans="1:22" s="1" customFormat="1" ht="12.75">
      <c r="A343" s="11">
        <v>90524</v>
      </c>
      <c r="B343" s="14" t="s">
        <v>136</v>
      </c>
      <c r="C343" s="14" t="s">
        <v>437</v>
      </c>
      <c r="D343" s="14" t="s">
        <v>438</v>
      </c>
      <c r="E343" s="14" t="s">
        <v>135</v>
      </c>
      <c r="F343" s="20">
        <v>32.5</v>
      </c>
      <c r="G343" s="14">
        <f>9</f>
        <v>9</v>
      </c>
      <c r="H343" s="15">
        <f t="shared" si="12"/>
        <v>292.5</v>
      </c>
      <c r="I343" s="27">
        <v>3.136</v>
      </c>
      <c r="J343" s="27">
        <f t="shared" si="13"/>
        <v>28.224</v>
      </c>
      <c r="K343" s="19" t="s">
        <v>18</v>
      </c>
      <c r="L343" s="36"/>
      <c r="V343" s="2"/>
    </row>
    <row r="344" spans="1:22" s="1" customFormat="1" ht="25.5">
      <c r="A344" s="11">
        <v>90532</v>
      </c>
      <c r="B344" s="14" t="s">
        <v>137</v>
      </c>
      <c r="C344" s="14" t="s">
        <v>138</v>
      </c>
      <c r="D344" s="38" t="s">
        <v>139</v>
      </c>
      <c r="E344" s="38" t="s">
        <v>111</v>
      </c>
      <c r="F344" s="20">
        <v>3.14</v>
      </c>
      <c r="G344" s="14">
        <f>640+340+33</f>
        <v>1013</v>
      </c>
      <c r="H344" s="15">
        <f t="shared" si="12"/>
        <v>3180.82</v>
      </c>
      <c r="I344" s="27">
        <v>0.308</v>
      </c>
      <c r="J344" s="27">
        <f t="shared" si="13"/>
        <v>312.004</v>
      </c>
      <c r="K344" s="19" t="s">
        <v>18</v>
      </c>
      <c r="L344" s="36"/>
      <c r="V344" s="2"/>
    </row>
    <row r="345" spans="1:22" s="1" customFormat="1" ht="12.75">
      <c r="A345" s="11">
        <v>90534</v>
      </c>
      <c r="B345" s="14" t="s">
        <v>140</v>
      </c>
      <c r="C345" s="14" t="s">
        <v>437</v>
      </c>
      <c r="D345" s="38" t="s">
        <v>438</v>
      </c>
      <c r="E345" s="38" t="s">
        <v>141</v>
      </c>
      <c r="F345" s="20">
        <v>3.14</v>
      </c>
      <c r="G345" s="14">
        <f>51+39</f>
        <v>90</v>
      </c>
      <c r="H345" s="15">
        <f t="shared" si="12"/>
        <v>282.6</v>
      </c>
      <c r="I345" s="27">
        <v>0.308</v>
      </c>
      <c r="J345" s="27">
        <f t="shared" si="13"/>
        <v>27.72</v>
      </c>
      <c r="K345" s="19" t="s">
        <v>18</v>
      </c>
      <c r="L345" s="36"/>
      <c r="V345" s="2"/>
    </row>
    <row r="346" spans="1:22" s="1" customFormat="1" ht="12.75">
      <c r="A346" s="11">
        <v>90536</v>
      </c>
      <c r="B346" s="14" t="s">
        <v>142</v>
      </c>
      <c r="C346" s="14" t="s">
        <v>437</v>
      </c>
      <c r="D346" s="38" t="s">
        <v>438</v>
      </c>
      <c r="E346" s="38" t="s">
        <v>143</v>
      </c>
      <c r="F346" s="20">
        <v>11.29</v>
      </c>
      <c r="G346" s="14">
        <f>21+22+22+22+22+20+16+20+39+22+21+8</f>
        <v>255</v>
      </c>
      <c r="H346" s="15">
        <f aca="true" t="shared" si="14" ref="H346:H377">G346*F346</f>
        <v>2878.95</v>
      </c>
      <c r="I346" s="27">
        <v>1.092</v>
      </c>
      <c r="J346" s="27">
        <f aca="true" t="shared" si="15" ref="J346:J377">G346*I346</f>
        <v>278.46000000000004</v>
      </c>
      <c r="K346" s="19" t="s">
        <v>18</v>
      </c>
      <c r="L346" s="36"/>
      <c r="V346" s="2"/>
    </row>
    <row r="347" spans="1:22" s="1" customFormat="1" ht="12.75">
      <c r="A347" s="11">
        <v>90537</v>
      </c>
      <c r="B347" s="14" t="s">
        <v>144</v>
      </c>
      <c r="C347" s="14" t="s">
        <v>437</v>
      </c>
      <c r="D347" s="38" t="s">
        <v>438</v>
      </c>
      <c r="E347" s="38"/>
      <c r="F347" s="20">
        <v>11.83</v>
      </c>
      <c r="G347" s="14">
        <f>90+80+57+113</f>
        <v>340</v>
      </c>
      <c r="H347" s="15">
        <f t="shared" si="14"/>
        <v>4022.2</v>
      </c>
      <c r="I347" s="27">
        <v>1.1480000000000001</v>
      </c>
      <c r="J347" s="27">
        <f t="shared" si="15"/>
        <v>390.32000000000005</v>
      </c>
      <c r="K347" s="19" t="s">
        <v>18</v>
      </c>
      <c r="L347" s="36"/>
      <c r="V347" s="2"/>
    </row>
    <row r="348" spans="1:22" s="1" customFormat="1" ht="12.75">
      <c r="A348" s="11">
        <v>90547</v>
      </c>
      <c r="B348" s="14" t="s">
        <v>145</v>
      </c>
      <c r="C348" s="14" t="s">
        <v>478</v>
      </c>
      <c r="D348" s="38" t="s">
        <v>438</v>
      </c>
      <c r="E348" s="38" t="s">
        <v>488</v>
      </c>
      <c r="F348" s="20">
        <v>39</v>
      </c>
      <c r="G348" s="14">
        <f>15</f>
        <v>15</v>
      </c>
      <c r="H348" s="15">
        <f t="shared" si="14"/>
        <v>585</v>
      </c>
      <c r="I348" s="27">
        <v>3.696</v>
      </c>
      <c r="J348" s="27">
        <f t="shared" si="15"/>
        <v>55.440000000000005</v>
      </c>
      <c r="K348" s="19" t="s">
        <v>18</v>
      </c>
      <c r="L348" s="36"/>
      <c r="V348" s="2"/>
    </row>
    <row r="349" spans="1:22" s="1" customFormat="1" ht="12.75">
      <c r="A349" s="11">
        <v>90548</v>
      </c>
      <c r="B349" s="14" t="s">
        <v>146</v>
      </c>
      <c r="C349" s="14" t="s">
        <v>478</v>
      </c>
      <c r="D349" s="38" t="s">
        <v>438</v>
      </c>
      <c r="E349" s="38" t="s">
        <v>488</v>
      </c>
      <c r="F349" s="20">
        <v>45</v>
      </c>
      <c r="G349" s="14">
        <f>33</f>
        <v>33</v>
      </c>
      <c r="H349" s="15">
        <f t="shared" si="14"/>
        <v>1485</v>
      </c>
      <c r="I349" s="27">
        <v>4.34</v>
      </c>
      <c r="J349" s="27">
        <f t="shared" si="15"/>
        <v>143.22</v>
      </c>
      <c r="K349" s="19" t="s">
        <v>18</v>
      </c>
      <c r="L349" s="36"/>
      <c r="V349" s="2"/>
    </row>
    <row r="350" spans="1:22" s="1" customFormat="1" ht="25.5">
      <c r="A350" s="11">
        <v>90567</v>
      </c>
      <c r="B350" s="14" t="s">
        <v>147</v>
      </c>
      <c r="C350" s="14" t="s">
        <v>138</v>
      </c>
      <c r="D350" s="38" t="s">
        <v>139</v>
      </c>
      <c r="E350" s="38" t="s">
        <v>111</v>
      </c>
      <c r="F350" s="20">
        <v>3.14</v>
      </c>
      <c r="G350" s="14">
        <f>640+627+114</f>
        <v>1381</v>
      </c>
      <c r="H350" s="15">
        <f t="shared" si="14"/>
        <v>4336.34</v>
      </c>
      <c r="I350" s="27">
        <v>0.308</v>
      </c>
      <c r="J350" s="27">
        <f t="shared" si="15"/>
        <v>425.348</v>
      </c>
      <c r="K350" s="19" t="s">
        <v>18</v>
      </c>
      <c r="L350" s="36"/>
      <c r="V350" s="2"/>
    </row>
    <row r="351" spans="1:22" s="1" customFormat="1" ht="25.5">
      <c r="A351" s="11">
        <v>90639</v>
      </c>
      <c r="B351" s="14" t="s">
        <v>148</v>
      </c>
      <c r="C351" s="14" t="s">
        <v>478</v>
      </c>
      <c r="D351" s="38" t="s">
        <v>438</v>
      </c>
      <c r="E351" s="38" t="s">
        <v>149</v>
      </c>
      <c r="F351" s="20">
        <v>12</v>
      </c>
      <c r="G351" s="14">
        <f>9</f>
        <v>9</v>
      </c>
      <c r="H351" s="15">
        <f t="shared" si="14"/>
        <v>108</v>
      </c>
      <c r="I351" s="27">
        <v>1.1480000000000001</v>
      </c>
      <c r="J351" s="27">
        <f t="shared" si="15"/>
        <v>10.332</v>
      </c>
      <c r="K351" s="19" t="s">
        <v>18</v>
      </c>
      <c r="L351" s="36"/>
      <c r="V351" s="2"/>
    </row>
    <row r="352" spans="1:22" s="1" customFormat="1" ht="25.5">
      <c r="A352" s="11">
        <v>90640</v>
      </c>
      <c r="B352" s="14" t="s">
        <v>150</v>
      </c>
      <c r="C352" s="14" t="s">
        <v>478</v>
      </c>
      <c r="D352" s="38" t="s">
        <v>438</v>
      </c>
      <c r="E352" s="38" t="s">
        <v>149</v>
      </c>
      <c r="F352" s="20">
        <v>14</v>
      </c>
      <c r="G352" s="14">
        <v>28</v>
      </c>
      <c r="H352" s="15">
        <f t="shared" si="14"/>
        <v>392</v>
      </c>
      <c r="I352" s="27">
        <v>1.1760000000000002</v>
      </c>
      <c r="J352" s="27">
        <f t="shared" si="15"/>
        <v>32.928000000000004</v>
      </c>
      <c r="K352" s="19" t="s">
        <v>18</v>
      </c>
      <c r="L352" s="36"/>
      <c r="V352" s="2"/>
    </row>
    <row r="353" spans="1:22" s="1" customFormat="1" ht="25.5">
      <c r="A353" s="11">
        <v>90641</v>
      </c>
      <c r="B353" s="14" t="s">
        <v>151</v>
      </c>
      <c r="C353" s="14" t="s">
        <v>478</v>
      </c>
      <c r="D353" s="38" t="s">
        <v>438</v>
      </c>
      <c r="E353" s="38" t="s">
        <v>149</v>
      </c>
      <c r="F353" s="20">
        <v>12</v>
      </c>
      <c r="G353" s="14">
        <v>35</v>
      </c>
      <c r="H353" s="15">
        <f t="shared" si="14"/>
        <v>420</v>
      </c>
      <c r="I353" s="27">
        <v>1.1480000000000001</v>
      </c>
      <c r="J353" s="27">
        <f t="shared" si="15"/>
        <v>40.18000000000001</v>
      </c>
      <c r="K353" s="19" t="s">
        <v>18</v>
      </c>
      <c r="L353" s="36"/>
      <c r="V353" s="2"/>
    </row>
    <row r="354" spans="1:22" s="1" customFormat="1" ht="12.75">
      <c r="A354" s="11">
        <v>90642</v>
      </c>
      <c r="B354" s="14" t="s">
        <v>152</v>
      </c>
      <c r="C354" s="14" t="s">
        <v>478</v>
      </c>
      <c r="D354" s="38" t="s">
        <v>438</v>
      </c>
      <c r="E354" s="38" t="s">
        <v>480</v>
      </c>
      <c r="F354" s="20">
        <v>10</v>
      </c>
      <c r="G354" s="14">
        <v>48</v>
      </c>
      <c r="H354" s="15">
        <f t="shared" si="14"/>
        <v>480</v>
      </c>
      <c r="I354" s="27">
        <v>0.98</v>
      </c>
      <c r="J354" s="27">
        <f t="shared" si="15"/>
        <v>47.04</v>
      </c>
      <c r="K354" s="19" t="s">
        <v>18</v>
      </c>
      <c r="L354" s="36"/>
      <c r="V354" s="2"/>
    </row>
    <row r="355" spans="1:22" s="1" customFormat="1" ht="12.75">
      <c r="A355" s="11">
        <v>90643</v>
      </c>
      <c r="B355" s="14" t="s">
        <v>153</v>
      </c>
      <c r="C355" s="14" t="s">
        <v>478</v>
      </c>
      <c r="D355" s="38" t="s">
        <v>438</v>
      </c>
      <c r="E355" s="38" t="s">
        <v>480</v>
      </c>
      <c r="F355" s="20">
        <v>12</v>
      </c>
      <c r="G355" s="14">
        <v>36</v>
      </c>
      <c r="H355" s="15">
        <f t="shared" si="14"/>
        <v>432</v>
      </c>
      <c r="I355" s="27">
        <v>1.1480000000000001</v>
      </c>
      <c r="J355" s="27">
        <f t="shared" si="15"/>
        <v>41.328</v>
      </c>
      <c r="K355" s="19" t="s">
        <v>18</v>
      </c>
      <c r="L355" s="36"/>
      <c r="V355" s="2"/>
    </row>
    <row r="356" spans="1:22" s="1" customFormat="1" ht="12.75">
      <c r="A356" s="11">
        <v>90644</v>
      </c>
      <c r="B356" s="14" t="s">
        <v>154</v>
      </c>
      <c r="C356" s="14" t="s">
        <v>478</v>
      </c>
      <c r="D356" s="38" t="s">
        <v>438</v>
      </c>
      <c r="E356" s="38" t="s">
        <v>488</v>
      </c>
      <c r="F356" s="20">
        <v>15</v>
      </c>
      <c r="G356" s="14">
        <v>46</v>
      </c>
      <c r="H356" s="15">
        <f t="shared" si="14"/>
        <v>690</v>
      </c>
      <c r="I356" s="27">
        <v>1.456</v>
      </c>
      <c r="J356" s="27">
        <f t="shared" si="15"/>
        <v>66.976</v>
      </c>
      <c r="K356" s="19" t="s">
        <v>18</v>
      </c>
      <c r="L356" s="36"/>
      <c r="V356" s="2"/>
    </row>
    <row r="357" spans="1:22" s="1" customFormat="1" ht="12.75">
      <c r="A357" s="11">
        <v>90645</v>
      </c>
      <c r="B357" s="14" t="s">
        <v>155</v>
      </c>
      <c r="C357" s="14" t="s">
        <v>478</v>
      </c>
      <c r="D357" s="38" t="s">
        <v>438</v>
      </c>
      <c r="E357" s="38" t="s">
        <v>488</v>
      </c>
      <c r="F357" s="20">
        <v>14</v>
      </c>
      <c r="G357" s="14">
        <v>43</v>
      </c>
      <c r="H357" s="15">
        <f t="shared" si="14"/>
        <v>602</v>
      </c>
      <c r="I357" s="27">
        <v>1.1760000000000002</v>
      </c>
      <c r="J357" s="27">
        <f t="shared" si="15"/>
        <v>50.568000000000005</v>
      </c>
      <c r="K357" s="19" t="s">
        <v>18</v>
      </c>
      <c r="L357" s="36"/>
      <c r="V357" s="2"/>
    </row>
    <row r="358" spans="1:22" s="1" customFormat="1" ht="12.75">
      <c r="A358" s="11">
        <v>90646</v>
      </c>
      <c r="B358" s="14" t="s">
        <v>156</v>
      </c>
      <c r="C358" s="14" t="s">
        <v>478</v>
      </c>
      <c r="D358" s="38" t="s">
        <v>438</v>
      </c>
      <c r="E358" s="38" t="s">
        <v>157</v>
      </c>
      <c r="F358" s="20">
        <v>15</v>
      </c>
      <c r="G358" s="14">
        <v>48</v>
      </c>
      <c r="H358" s="15">
        <f t="shared" si="14"/>
        <v>720</v>
      </c>
      <c r="I358" s="27">
        <v>1.456</v>
      </c>
      <c r="J358" s="27">
        <f t="shared" si="15"/>
        <v>69.888</v>
      </c>
      <c r="K358" s="19" t="s">
        <v>18</v>
      </c>
      <c r="L358" s="36"/>
      <c r="V358" s="2"/>
    </row>
    <row r="359" spans="1:22" s="1" customFormat="1" ht="12.75">
      <c r="A359" s="11">
        <v>90647</v>
      </c>
      <c r="B359" s="14" t="s">
        <v>158</v>
      </c>
      <c r="C359" s="14" t="s">
        <v>478</v>
      </c>
      <c r="D359" s="38" t="s">
        <v>438</v>
      </c>
      <c r="E359" s="38" t="s">
        <v>157</v>
      </c>
      <c r="F359" s="20">
        <v>15</v>
      </c>
      <c r="G359" s="14">
        <v>38</v>
      </c>
      <c r="H359" s="15">
        <f t="shared" si="14"/>
        <v>570</v>
      </c>
      <c r="I359" s="27">
        <v>1.456</v>
      </c>
      <c r="J359" s="27">
        <f t="shared" si="15"/>
        <v>55.327999999999996</v>
      </c>
      <c r="K359" s="19" t="s">
        <v>18</v>
      </c>
      <c r="L359" s="36"/>
      <c r="V359" s="2"/>
    </row>
    <row r="360" spans="1:22" s="1" customFormat="1" ht="12.75">
      <c r="A360" s="11">
        <v>90648</v>
      </c>
      <c r="B360" s="14" t="s">
        <v>159</v>
      </c>
      <c r="C360" s="14" t="s">
        <v>478</v>
      </c>
      <c r="D360" s="38" t="s">
        <v>438</v>
      </c>
      <c r="E360" s="38" t="s">
        <v>157</v>
      </c>
      <c r="F360" s="20">
        <v>14</v>
      </c>
      <c r="G360" s="14">
        <v>41</v>
      </c>
      <c r="H360" s="15">
        <f t="shared" si="14"/>
        <v>574</v>
      </c>
      <c r="I360" s="27">
        <v>1.204</v>
      </c>
      <c r="J360" s="27">
        <f t="shared" si="15"/>
        <v>49.364</v>
      </c>
      <c r="K360" s="19" t="s">
        <v>18</v>
      </c>
      <c r="L360" s="36"/>
      <c r="V360" s="2"/>
    </row>
    <row r="361" spans="1:22" s="1" customFormat="1" ht="12.75">
      <c r="A361" s="11">
        <v>90650</v>
      </c>
      <c r="B361" s="14" t="s">
        <v>160</v>
      </c>
      <c r="C361" s="14" t="s">
        <v>478</v>
      </c>
      <c r="D361" s="38" t="s">
        <v>438</v>
      </c>
      <c r="E361" s="38" t="s">
        <v>161</v>
      </c>
      <c r="F361" s="20">
        <v>41</v>
      </c>
      <c r="G361" s="14">
        <f>24</f>
        <v>24</v>
      </c>
      <c r="H361" s="15">
        <f t="shared" si="14"/>
        <v>984</v>
      </c>
      <c r="I361" s="27">
        <v>4</v>
      </c>
      <c r="J361" s="27">
        <f t="shared" si="15"/>
        <v>96</v>
      </c>
      <c r="K361" s="19" t="s">
        <v>18</v>
      </c>
      <c r="L361" s="36"/>
      <c r="V361" s="2"/>
    </row>
    <row r="362" spans="1:22" s="1" customFormat="1" ht="12.75">
      <c r="A362" s="11">
        <v>90651</v>
      </c>
      <c r="B362" s="14" t="s">
        <v>162</v>
      </c>
      <c r="C362" s="14" t="s">
        <v>478</v>
      </c>
      <c r="D362" s="38" t="s">
        <v>438</v>
      </c>
      <c r="E362" s="38" t="s">
        <v>161</v>
      </c>
      <c r="F362" s="20">
        <v>41</v>
      </c>
      <c r="G362" s="14">
        <f>34</f>
        <v>34</v>
      </c>
      <c r="H362" s="15">
        <f t="shared" si="14"/>
        <v>1394</v>
      </c>
      <c r="I362" s="27">
        <v>4</v>
      </c>
      <c r="J362" s="27">
        <f t="shared" si="15"/>
        <v>136</v>
      </c>
      <c r="K362" s="19" t="s">
        <v>18</v>
      </c>
      <c r="L362" s="36"/>
      <c r="V362" s="2"/>
    </row>
    <row r="363" spans="1:22" s="1" customFormat="1" ht="12.75">
      <c r="A363" s="11">
        <v>90652</v>
      </c>
      <c r="B363" s="14" t="s">
        <v>163</v>
      </c>
      <c r="C363" s="14" t="s">
        <v>478</v>
      </c>
      <c r="D363" s="38" t="s">
        <v>438</v>
      </c>
      <c r="E363" s="14" t="s">
        <v>161</v>
      </c>
      <c r="F363" s="20">
        <v>41</v>
      </c>
      <c r="G363" s="14">
        <f>27</f>
        <v>27</v>
      </c>
      <c r="H363" s="15">
        <f t="shared" si="14"/>
        <v>1107</v>
      </c>
      <c r="I363" s="27">
        <v>4</v>
      </c>
      <c r="J363" s="27">
        <f t="shared" si="15"/>
        <v>108</v>
      </c>
      <c r="K363" s="19" t="s">
        <v>18</v>
      </c>
      <c r="L363" s="36"/>
      <c r="V363" s="2"/>
    </row>
    <row r="364" spans="1:22" s="1" customFormat="1" ht="25.5">
      <c r="A364" s="11">
        <v>90734</v>
      </c>
      <c r="B364" s="14" t="s">
        <v>164</v>
      </c>
      <c r="C364" s="14" t="s">
        <v>437</v>
      </c>
      <c r="D364" s="14" t="s">
        <v>165</v>
      </c>
      <c r="E364" s="14" t="s">
        <v>143</v>
      </c>
      <c r="F364" s="20">
        <v>19</v>
      </c>
      <c r="G364" s="14">
        <f>19</f>
        <v>19</v>
      </c>
      <c r="H364" s="15">
        <f t="shared" si="14"/>
        <v>361</v>
      </c>
      <c r="I364" s="27">
        <v>1.736</v>
      </c>
      <c r="J364" s="27">
        <f t="shared" si="15"/>
        <v>32.984</v>
      </c>
      <c r="K364" s="19" t="s">
        <v>18</v>
      </c>
      <c r="L364" s="36"/>
      <c r="V364" s="2"/>
    </row>
    <row r="365" spans="1:22" s="1" customFormat="1" ht="25.5">
      <c r="A365" s="11">
        <v>90735</v>
      </c>
      <c r="B365" s="14" t="s">
        <v>166</v>
      </c>
      <c r="C365" s="14" t="s">
        <v>437</v>
      </c>
      <c r="D365" s="14" t="s">
        <v>165</v>
      </c>
      <c r="E365" s="14" t="s">
        <v>143</v>
      </c>
      <c r="F365" s="20">
        <v>12.5</v>
      </c>
      <c r="G365" s="14">
        <f>2</f>
        <v>2</v>
      </c>
      <c r="H365" s="15">
        <f t="shared" si="14"/>
        <v>25</v>
      </c>
      <c r="I365" s="27">
        <v>1.1480000000000001</v>
      </c>
      <c r="J365" s="27">
        <f t="shared" si="15"/>
        <v>2.2960000000000003</v>
      </c>
      <c r="K365" s="39"/>
      <c r="L365" s="40"/>
      <c r="V365" s="2"/>
    </row>
    <row r="366" spans="1:22" s="1" customFormat="1" ht="25.5">
      <c r="A366" s="11">
        <v>90737</v>
      </c>
      <c r="B366" s="14" t="s">
        <v>167</v>
      </c>
      <c r="C366" s="14" t="s">
        <v>437</v>
      </c>
      <c r="D366" s="14" t="s">
        <v>165</v>
      </c>
      <c r="E366" s="14" t="s">
        <v>143</v>
      </c>
      <c r="F366" s="20">
        <v>21</v>
      </c>
      <c r="G366" s="14">
        <f>4</f>
        <v>4</v>
      </c>
      <c r="H366" s="15">
        <f t="shared" si="14"/>
        <v>84</v>
      </c>
      <c r="I366" s="27">
        <v>1.932</v>
      </c>
      <c r="J366" s="27">
        <f t="shared" si="15"/>
        <v>7.728</v>
      </c>
      <c r="K366" s="19"/>
      <c r="L366" s="36"/>
      <c r="V366" s="2"/>
    </row>
    <row r="367" spans="1:22" s="1" customFormat="1" ht="25.5">
      <c r="A367" s="11">
        <v>90740</v>
      </c>
      <c r="B367" s="14" t="s">
        <v>168</v>
      </c>
      <c r="C367" s="14" t="s">
        <v>437</v>
      </c>
      <c r="D367" s="14" t="s">
        <v>165</v>
      </c>
      <c r="E367" s="14" t="s">
        <v>169</v>
      </c>
      <c r="F367" s="20">
        <v>51</v>
      </c>
      <c r="G367" s="14">
        <f>2</f>
        <v>2</v>
      </c>
      <c r="H367" s="15">
        <f t="shared" si="14"/>
        <v>102</v>
      </c>
      <c r="I367" s="27">
        <v>4.816</v>
      </c>
      <c r="J367" s="27">
        <f t="shared" si="15"/>
        <v>9.632</v>
      </c>
      <c r="K367" s="19" t="s">
        <v>18</v>
      </c>
      <c r="L367" s="36"/>
      <c r="V367" s="2"/>
    </row>
    <row r="368" spans="1:21" ht="12.75">
      <c r="A368" s="11">
        <v>90742</v>
      </c>
      <c r="B368" s="14" t="s">
        <v>170</v>
      </c>
      <c r="C368" s="14" t="s">
        <v>478</v>
      </c>
      <c r="D368" s="14" t="s">
        <v>438</v>
      </c>
      <c r="E368" s="14" t="s">
        <v>484</v>
      </c>
      <c r="F368" s="20">
        <v>24.5</v>
      </c>
      <c r="G368" s="14">
        <f>6</f>
        <v>6</v>
      </c>
      <c r="H368" s="15">
        <f t="shared" si="14"/>
        <v>147</v>
      </c>
      <c r="I368" s="27">
        <v>2.268</v>
      </c>
      <c r="J368" s="27">
        <f t="shared" si="15"/>
        <v>13.607999999999999</v>
      </c>
      <c r="K368" s="19" t="s">
        <v>18</v>
      </c>
      <c r="L368" s="36"/>
      <c r="U368" s="1"/>
    </row>
    <row r="369" spans="1:21" ht="25.5">
      <c r="A369" s="11">
        <v>90774</v>
      </c>
      <c r="B369" s="38" t="s">
        <v>171</v>
      </c>
      <c r="C369" s="14" t="s">
        <v>437</v>
      </c>
      <c r="D369" s="14" t="s">
        <v>450</v>
      </c>
      <c r="E369" s="14" t="s">
        <v>476</v>
      </c>
      <c r="F369" s="20">
        <v>18</v>
      </c>
      <c r="G369" s="14">
        <f>7+10</f>
        <v>17</v>
      </c>
      <c r="H369" s="15">
        <f t="shared" si="14"/>
        <v>306</v>
      </c>
      <c r="I369" s="27">
        <v>1.736</v>
      </c>
      <c r="J369" s="27">
        <f t="shared" si="15"/>
        <v>29.512</v>
      </c>
      <c r="K369" s="19" t="s">
        <v>18</v>
      </c>
      <c r="L369" s="36"/>
      <c r="U369" s="1"/>
    </row>
    <row r="370" spans="1:21" ht="25.5">
      <c r="A370" s="11">
        <v>90775</v>
      </c>
      <c r="B370" s="38" t="s">
        <v>172</v>
      </c>
      <c r="C370" s="14" t="s">
        <v>437</v>
      </c>
      <c r="D370" s="14" t="s">
        <v>450</v>
      </c>
      <c r="E370" s="14" t="s">
        <v>476</v>
      </c>
      <c r="F370" s="20">
        <v>18</v>
      </c>
      <c r="G370" s="14">
        <f>6+3</f>
        <v>9</v>
      </c>
      <c r="H370" s="15">
        <f t="shared" si="14"/>
        <v>162</v>
      </c>
      <c r="I370" s="27">
        <v>1.736</v>
      </c>
      <c r="J370" s="27">
        <f t="shared" si="15"/>
        <v>15.624</v>
      </c>
      <c r="K370" s="19" t="s">
        <v>18</v>
      </c>
      <c r="L370" s="36"/>
      <c r="U370" s="1"/>
    </row>
    <row r="371" spans="1:21" ht="25.5">
      <c r="A371" s="11">
        <v>90777</v>
      </c>
      <c r="B371" s="38" t="s">
        <v>173</v>
      </c>
      <c r="C371" s="14" t="s">
        <v>437</v>
      </c>
      <c r="D371" s="14" t="s">
        <v>450</v>
      </c>
      <c r="E371" s="14" t="s">
        <v>174</v>
      </c>
      <c r="F371" s="20">
        <v>2.25</v>
      </c>
      <c r="G371" s="14">
        <f>200</f>
        <v>200</v>
      </c>
      <c r="H371" s="15">
        <f t="shared" si="14"/>
        <v>450</v>
      </c>
      <c r="I371" s="27">
        <v>0.22400000000000003</v>
      </c>
      <c r="J371" s="27">
        <f t="shared" si="15"/>
        <v>44.800000000000004</v>
      </c>
      <c r="K371" s="19" t="s">
        <v>18</v>
      </c>
      <c r="L371" s="36"/>
      <c r="U371" s="1"/>
    </row>
    <row r="372" spans="1:21" ht="25.5">
      <c r="A372" s="11">
        <v>90785</v>
      </c>
      <c r="B372" s="14" t="s">
        <v>175</v>
      </c>
      <c r="C372" s="14" t="s">
        <v>437</v>
      </c>
      <c r="D372" s="14" t="s">
        <v>450</v>
      </c>
      <c r="E372" s="14" t="s">
        <v>174</v>
      </c>
      <c r="F372" s="20">
        <v>2.4</v>
      </c>
      <c r="G372" s="14">
        <v>92</v>
      </c>
      <c r="H372" s="15">
        <f t="shared" si="14"/>
        <v>220.79999999999998</v>
      </c>
      <c r="I372" s="27">
        <v>0.22400000000000003</v>
      </c>
      <c r="J372" s="27">
        <f t="shared" si="15"/>
        <v>20.608000000000004</v>
      </c>
      <c r="K372" s="19" t="s">
        <v>18</v>
      </c>
      <c r="L372" s="36"/>
      <c r="U372" s="1"/>
    </row>
    <row r="373" spans="1:21" ht="25.5">
      <c r="A373" s="11">
        <v>90786</v>
      </c>
      <c r="B373" s="38" t="s">
        <v>176</v>
      </c>
      <c r="C373" s="14" t="s">
        <v>437</v>
      </c>
      <c r="D373" s="14" t="s">
        <v>450</v>
      </c>
      <c r="E373" s="14" t="s">
        <v>177</v>
      </c>
      <c r="F373" s="20">
        <v>7.1</v>
      </c>
      <c r="G373" s="14">
        <f>167</f>
        <v>167</v>
      </c>
      <c r="H373" s="15">
        <f t="shared" si="14"/>
        <v>1185.7</v>
      </c>
      <c r="I373" s="27">
        <v>0.616</v>
      </c>
      <c r="J373" s="27">
        <f t="shared" si="15"/>
        <v>102.872</v>
      </c>
      <c r="K373" s="19" t="s">
        <v>18</v>
      </c>
      <c r="L373" s="36"/>
      <c r="U373" s="1"/>
    </row>
    <row r="374" spans="1:21" ht="25.5">
      <c r="A374" s="11">
        <v>90787</v>
      </c>
      <c r="B374" s="14" t="s">
        <v>178</v>
      </c>
      <c r="C374" s="14" t="s">
        <v>437</v>
      </c>
      <c r="D374" s="14" t="s">
        <v>450</v>
      </c>
      <c r="E374" s="14" t="s">
        <v>177</v>
      </c>
      <c r="F374" s="20">
        <v>7.1</v>
      </c>
      <c r="G374" s="14">
        <f>31</f>
        <v>31</v>
      </c>
      <c r="H374" s="15">
        <f t="shared" si="14"/>
        <v>220.1</v>
      </c>
      <c r="I374" s="27">
        <v>0.616</v>
      </c>
      <c r="J374" s="27">
        <f t="shared" si="15"/>
        <v>19.096</v>
      </c>
      <c r="K374" s="19" t="s">
        <v>18</v>
      </c>
      <c r="L374" s="36"/>
      <c r="U374" s="1"/>
    </row>
    <row r="375" spans="1:21" ht="25.5">
      <c r="A375" s="11">
        <v>90808</v>
      </c>
      <c r="B375" s="14" t="s">
        <v>179</v>
      </c>
      <c r="C375" s="14" t="s">
        <v>109</v>
      </c>
      <c r="D375" s="14" t="s">
        <v>180</v>
      </c>
      <c r="E375" s="14" t="s">
        <v>111</v>
      </c>
      <c r="F375" s="20">
        <v>33.5</v>
      </c>
      <c r="G375" s="14">
        <f>9+3</f>
        <v>12</v>
      </c>
      <c r="H375" s="15">
        <f t="shared" si="14"/>
        <v>402</v>
      </c>
      <c r="I375" s="27">
        <v>3.136</v>
      </c>
      <c r="J375" s="27">
        <f t="shared" si="15"/>
        <v>37.632000000000005</v>
      </c>
      <c r="K375" s="19" t="s">
        <v>18</v>
      </c>
      <c r="L375" s="36"/>
      <c r="U375" s="1"/>
    </row>
    <row r="376" spans="1:21" ht="12.75">
      <c r="A376" s="11">
        <v>90816</v>
      </c>
      <c r="B376" s="38" t="s">
        <v>181</v>
      </c>
      <c r="C376" s="14" t="s">
        <v>437</v>
      </c>
      <c r="D376" s="14" t="s">
        <v>438</v>
      </c>
      <c r="E376" s="14" t="s">
        <v>135</v>
      </c>
      <c r="F376" s="20">
        <v>32.5</v>
      </c>
      <c r="G376" s="14">
        <f>6</f>
        <v>6</v>
      </c>
      <c r="H376" s="15">
        <f t="shared" si="14"/>
        <v>195</v>
      </c>
      <c r="I376" s="27">
        <v>3.192</v>
      </c>
      <c r="J376" s="27">
        <f t="shared" si="15"/>
        <v>19.152</v>
      </c>
      <c r="K376" s="19" t="s">
        <v>18</v>
      </c>
      <c r="L376" s="36"/>
      <c r="U376" s="1"/>
    </row>
    <row r="377" spans="1:21" ht="12.75">
      <c r="A377" s="11">
        <v>90817</v>
      </c>
      <c r="B377" s="38" t="s">
        <v>412</v>
      </c>
      <c r="C377" s="14" t="s">
        <v>109</v>
      </c>
      <c r="D377" s="14" t="s">
        <v>110</v>
      </c>
      <c r="E377" s="14" t="s">
        <v>111</v>
      </c>
      <c r="F377" s="20">
        <v>21.9</v>
      </c>
      <c r="G377" s="14">
        <f>49-10-1-7</f>
        <v>31</v>
      </c>
      <c r="H377" s="15">
        <f t="shared" si="14"/>
        <v>678.9</v>
      </c>
      <c r="I377" s="27">
        <v>1.988</v>
      </c>
      <c r="J377" s="27">
        <f t="shared" si="15"/>
        <v>61.628</v>
      </c>
      <c r="K377" s="19" t="s">
        <v>18</v>
      </c>
      <c r="L377" s="36"/>
      <c r="U377" s="1"/>
    </row>
    <row r="378" spans="1:20" s="4" customFormat="1" ht="27.75" customHeight="1">
      <c r="A378" s="220" t="s">
        <v>182</v>
      </c>
      <c r="B378" s="221"/>
      <c r="C378" s="221"/>
      <c r="D378" s="41"/>
      <c r="E378" s="41"/>
      <c r="F378" s="41"/>
      <c r="G378" s="41"/>
      <c r="H378" s="41"/>
      <c r="I378" s="42"/>
      <c r="J378" s="43">
        <f>SUM(J282:J377)</f>
        <v>6613.648</v>
      </c>
      <c r="K378" s="44"/>
      <c r="L378" s="1"/>
      <c r="M378" s="1"/>
      <c r="N378" s="3"/>
      <c r="O378" s="3"/>
      <c r="P378" s="3"/>
      <c r="Q378" s="3"/>
      <c r="R378" s="3"/>
      <c r="S378" s="3"/>
      <c r="T378" s="3"/>
    </row>
    <row r="379" spans="1:11" ht="19.5" customHeight="1">
      <c r="A379" s="211" t="s">
        <v>183</v>
      </c>
      <c r="B379" s="198"/>
      <c r="C379" s="198"/>
      <c r="D379" s="198"/>
      <c r="E379" s="198"/>
      <c r="F379" s="198"/>
      <c r="G379" s="198"/>
      <c r="H379" s="198"/>
      <c r="I379" s="198"/>
      <c r="J379" s="43">
        <f>J378+J279</f>
        <v>10923.8034</v>
      </c>
      <c r="K379" s="44"/>
    </row>
    <row r="380" spans="1:11" ht="15">
      <c r="A380" s="199" t="s">
        <v>184</v>
      </c>
      <c r="B380" s="200"/>
      <c r="C380" s="200"/>
      <c r="D380" s="200"/>
      <c r="E380" s="200"/>
      <c r="F380" s="200"/>
      <c r="G380" s="200"/>
      <c r="H380" s="200"/>
      <c r="I380" s="200"/>
      <c r="J380" s="200"/>
      <c r="K380" s="45"/>
    </row>
    <row r="381" spans="1:20" ht="90">
      <c r="A381" s="201" t="s">
        <v>185</v>
      </c>
      <c r="B381" s="202"/>
      <c r="C381" s="30"/>
      <c r="D381" s="30"/>
      <c r="E381" s="30"/>
      <c r="F381" s="33" t="s">
        <v>186</v>
      </c>
      <c r="G381" s="33" t="s">
        <v>187</v>
      </c>
      <c r="H381" s="33" t="s">
        <v>188</v>
      </c>
      <c r="I381" s="46" t="s">
        <v>9</v>
      </c>
      <c r="J381" s="47" t="s">
        <v>10</v>
      </c>
      <c r="K381" s="48"/>
      <c r="S381" s="2"/>
      <c r="T381" s="2"/>
    </row>
    <row r="382" spans="1:20" ht="51" customHeight="1">
      <c r="A382" s="218" t="s">
        <v>189</v>
      </c>
      <c r="B382" s="219"/>
      <c r="C382" s="30"/>
      <c r="D382" s="30"/>
      <c r="E382" s="30"/>
      <c r="F382" s="50">
        <f>1100-1</f>
        <v>1099</v>
      </c>
      <c r="G382" s="33" t="s">
        <v>190</v>
      </c>
      <c r="H382" s="27">
        <v>0.2</v>
      </c>
      <c r="I382" s="26">
        <f aca="true" t="shared" si="16" ref="I382:I400">F382*H382</f>
        <v>219.8</v>
      </c>
      <c r="J382" s="37" t="s">
        <v>18</v>
      </c>
      <c r="K382" s="51"/>
      <c r="T382" s="2"/>
    </row>
    <row r="383" spans="1:20" ht="89.25" customHeight="1">
      <c r="A383" s="218" t="s">
        <v>191</v>
      </c>
      <c r="B383" s="219"/>
      <c r="C383" s="30"/>
      <c r="D383" s="30"/>
      <c r="E383" s="30"/>
      <c r="F383" s="50">
        <f>1545-1</f>
        <v>1544</v>
      </c>
      <c r="G383" s="33" t="s">
        <v>190</v>
      </c>
      <c r="H383" s="27">
        <v>0.2</v>
      </c>
      <c r="I383" s="26">
        <f t="shared" si="16"/>
        <v>308.8</v>
      </c>
      <c r="J383" s="37" t="s">
        <v>18</v>
      </c>
      <c r="K383" s="51"/>
      <c r="T383" s="2"/>
    </row>
    <row r="384" spans="1:20" ht="51" customHeight="1">
      <c r="A384" s="218" t="s">
        <v>192</v>
      </c>
      <c r="B384" s="219"/>
      <c r="C384" s="30"/>
      <c r="D384" s="30"/>
      <c r="E384" s="30"/>
      <c r="F384" s="50">
        <f>4000-1</f>
        <v>3999</v>
      </c>
      <c r="G384" s="33" t="s">
        <v>190</v>
      </c>
      <c r="H384" s="27">
        <v>0.2</v>
      </c>
      <c r="I384" s="26">
        <f t="shared" si="16"/>
        <v>799.8000000000001</v>
      </c>
      <c r="J384" s="37" t="s">
        <v>18</v>
      </c>
      <c r="K384" s="51"/>
      <c r="T384" s="2"/>
    </row>
    <row r="385" spans="1:20" ht="25.5">
      <c r="A385" s="209" t="s">
        <v>193</v>
      </c>
      <c r="B385" s="210"/>
      <c r="C385" s="30"/>
      <c r="D385" s="30"/>
      <c r="E385" s="30"/>
      <c r="F385" s="52">
        <f>494-10-2-34</f>
        <v>448</v>
      </c>
      <c r="G385" s="33" t="s">
        <v>190</v>
      </c>
      <c r="H385" s="27">
        <v>0.2</v>
      </c>
      <c r="I385" s="26">
        <f t="shared" si="16"/>
        <v>89.60000000000001</v>
      </c>
      <c r="J385" s="37" t="s">
        <v>18</v>
      </c>
      <c r="K385" s="51"/>
      <c r="T385" s="2"/>
    </row>
    <row r="386" spans="1:20" ht="30.75" customHeight="1">
      <c r="A386" s="218" t="s">
        <v>194</v>
      </c>
      <c r="B386" s="219"/>
      <c r="C386" s="30"/>
      <c r="D386" s="30"/>
      <c r="E386" s="30"/>
      <c r="F386" s="52">
        <v>400</v>
      </c>
      <c r="G386" s="33" t="s">
        <v>190</v>
      </c>
      <c r="H386" s="27">
        <v>0.25</v>
      </c>
      <c r="I386" s="26">
        <f t="shared" si="16"/>
        <v>100</v>
      </c>
      <c r="J386" s="37" t="s">
        <v>18</v>
      </c>
      <c r="K386" s="51"/>
      <c r="T386" s="2"/>
    </row>
    <row r="387" spans="1:20" ht="35.25" customHeight="1">
      <c r="A387" s="218" t="s">
        <v>195</v>
      </c>
      <c r="B387" s="219"/>
      <c r="C387" s="30"/>
      <c r="D387" s="30"/>
      <c r="E387" s="30"/>
      <c r="F387" s="52">
        <v>750</v>
      </c>
      <c r="G387" s="33" t="s">
        <v>190</v>
      </c>
      <c r="H387" s="27">
        <v>0.25</v>
      </c>
      <c r="I387" s="26">
        <f t="shared" si="16"/>
        <v>187.5</v>
      </c>
      <c r="J387" s="37" t="s">
        <v>18</v>
      </c>
      <c r="K387" s="51"/>
      <c r="T387" s="2"/>
    </row>
    <row r="388" spans="1:20" ht="25.5">
      <c r="A388" s="209" t="s">
        <v>196</v>
      </c>
      <c r="B388" s="210"/>
      <c r="C388" s="30"/>
      <c r="D388" s="30"/>
      <c r="E388" s="30"/>
      <c r="F388" s="52">
        <v>240</v>
      </c>
      <c r="G388" s="33" t="s">
        <v>190</v>
      </c>
      <c r="H388" s="27">
        <v>0.25</v>
      </c>
      <c r="I388" s="26">
        <f t="shared" si="16"/>
        <v>60</v>
      </c>
      <c r="J388" s="37" t="s">
        <v>18</v>
      </c>
      <c r="K388" s="51"/>
      <c r="T388" s="2"/>
    </row>
    <row r="389" spans="1:20" ht="30.75" customHeight="1">
      <c r="A389" s="218" t="s">
        <v>197</v>
      </c>
      <c r="B389" s="219"/>
      <c r="C389" s="30"/>
      <c r="D389" s="30"/>
      <c r="E389" s="30"/>
      <c r="F389" s="52">
        <v>38</v>
      </c>
      <c r="G389" s="33" t="s">
        <v>190</v>
      </c>
      <c r="H389" s="27">
        <v>0.25</v>
      </c>
      <c r="I389" s="26">
        <f t="shared" si="16"/>
        <v>9.5</v>
      </c>
      <c r="J389" s="37" t="s">
        <v>18</v>
      </c>
      <c r="K389" s="51"/>
      <c r="T389" s="2"/>
    </row>
    <row r="390" spans="1:20" ht="38.25" customHeight="1">
      <c r="A390" s="218" t="s">
        <v>198</v>
      </c>
      <c r="B390" s="219"/>
      <c r="C390" s="30"/>
      <c r="D390" s="30"/>
      <c r="E390" s="30"/>
      <c r="F390" s="52">
        <v>109</v>
      </c>
      <c r="G390" s="33" t="s">
        <v>190</v>
      </c>
      <c r="H390" s="27">
        <v>0.25</v>
      </c>
      <c r="I390" s="26">
        <f t="shared" si="16"/>
        <v>27.25</v>
      </c>
      <c r="J390" s="37" t="s">
        <v>18</v>
      </c>
      <c r="K390" s="51"/>
      <c r="T390" s="2"/>
    </row>
    <row r="391" spans="1:20" ht="34.5" customHeight="1">
      <c r="A391" s="218" t="s">
        <v>199</v>
      </c>
      <c r="B391" s="219"/>
      <c r="C391" s="30"/>
      <c r="D391" s="30"/>
      <c r="E391" s="30"/>
      <c r="F391" s="52">
        <v>32</v>
      </c>
      <c r="G391" s="33" t="s">
        <v>190</v>
      </c>
      <c r="H391" s="27">
        <v>0.25</v>
      </c>
      <c r="I391" s="26">
        <f t="shared" si="16"/>
        <v>8</v>
      </c>
      <c r="J391" s="37" t="s">
        <v>18</v>
      </c>
      <c r="K391" s="51"/>
      <c r="T391" s="2"/>
    </row>
    <row r="392" spans="1:20" ht="28.5" customHeight="1">
      <c r="A392" s="218" t="s">
        <v>200</v>
      </c>
      <c r="B392" s="219"/>
      <c r="C392" s="30"/>
      <c r="D392" s="30"/>
      <c r="E392" s="30"/>
      <c r="F392" s="52">
        <v>34</v>
      </c>
      <c r="G392" s="33" t="s">
        <v>190</v>
      </c>
      <c r="H392" s="27">
        <v>0.1</v>
      </c>
      <c r="I392" s="26">
        <f t="shared" si="16"/>
        <v>3.4000000000000004</v>
      </c>
      <c r="J392" s="37" t="s">
        <v>18</v>
      </c>
      <c r="K392" s="51"/>
      <c r="T392" s="2"/>
    </row>
    <row r="393" spans="1:20" ht="39" customHeight="1">
      <c r="A393" s="218" t="s">
        <v>201</v>
      </c>
      <c r="B393" s="219"/>
      <c r="C393" s="30"/>
      <c r="D393" s="30"/>
      <c r="E393" s="30"/>
      <c r="F393" s="52">
        <v>450</v>
      </c>
      <c r="G393" s="33" t="s">
        <v>190</v>
      </c>
      <c r="H393" s="27">
        <v>0.3</v>
      </c>
      <c r="I393" s="26">
        <f t="shared" si="16"/>
        <v>135</v>
      </c>
      <c r="J393" s="37" t="s">
        <v>18</v>
      </c>
      <c r="K393" s="51"/>
      <c r="T393" s="2"/>
    </row>
    <row r="394" spans="1:20" ht="24.75" customHeight="1">
      <c r="A394" s="218" t="s">
        <v>202</v>
      </c>
      <c r="B394" s="219"/>
      <c r="C394" s="33"/>
      <c r="D394" s="33"/>
      <c r="E394" s="33"/>
      <c r="F394" s="49">
        <v>200</v>
      </c>
      <c r="G394" s="33" t="s">
        <v>190</v>
      </c>
      <c r="H394" s="27">
        <v>0.3</v>
      </c>
      <c r="I394" s="26">
        <f t="shared" si="16"/>
        <v>60</v>
      </c>
      <c r="J394" s="53" t="s">
        <v>18</v>
      </c>
      <c r="K394" s="54"/>
      <c r="T394" s="2"/>
    </row>
    <row r="395" spans="1:20" ht="19.5" customHeight="1">
      <c r="A395" s="218" t="s">
        <v>203</v>
      </c>
      <c r="B395" s="219"/>
      <c r="C395" s="33"/>
      <c r="D395" s="33"/>
      <c r="E395" s="33"/>
      <c r="F395" s="49">
        <v>200</v>
      </c>
      <c r="G395" s="33" t="s">
        <v>190</v>
      </c>
      <c r="H395" s="27">
        <v>0.3</v>
      </c>
      <c r="I395" s="26">
        <f t="shared" si="16"/>
        <v>60</v>
      </c>
      <c r="J395" s="53" t="s">
        <v>18</v>
      </c>
      <c r="K395" s="54"/>
      <c r="T395" s="2"/>
    </row>
    <row r="396" spans="1:20" ht="21" customHeight="1">
      <c r="A396" s="218" t="s">
        <v>204</v>
      </c>
      <c r="B396" s="219"/>
      <c r="C396" s="33"/>
      <c r="D396" s="33"/>
      <c r="E396" s="33"/>
      <c r="F396" s="49">
        <v>80</v>
      </c>
      <c r="G396" s="33" t="s">
        <v>190</v>
      </c>
      <c r="H396" s="27">
        <v>0.1</v>
      </c>
      <c r="I396" s="26">
        <f t="shared" si="16"/>
        <v>8</v>
      </c>
      <c r="J396" s="53" t="s">
        <v>18</v>
      </c>
      <c r="K396" s="54"/>
      <c r="T396" s="2"/>
    </row>
    <row r="397" spans="1:20" ht="19.5" customHeight="1">
      <c r="A397" s="209" t="s">
        <v>205</v>
      </c>
      <c r="B397" s="210"/>
      <c r="C397" s="30"/>
      <c r="D397" s="30"/>
      <c r="E397" s="30"/>
      <c r="F397" s="50">
        <v>2500</v>
      </c>
      <c r="G397" s="33" t="s">
        <v>190</v>
      </c>
      <c r="H397" s="27">
        <v>0.1</v>
      </c>
      <c r="I397" s="26">
        <f t="shared" si="16"/>
        <v>250</v>
      </c>
      <c r="J397" s="37" t="s">
        <v>18</v>
      </c>
      <c r="K397" s="51"/>
      <c r="T397" s="2"/>
    </row>
    <row r="398" spans="1:20" ht="23.25" customHeight="1">
      <c r="A398" s="218" t="s">
        <v>206</v>
      </c>
      <c r="B398" s="219"/>
      <c r="C398" s="30"/>
      <c r="D398" s="30"/>
      <c r="E398" s="30"/>
      <c r="F398" s="52">
        <f>390-15-20-60-30-250</f>
        <v>15</v>
      </c>
      <c r="G398" s="33" t="s">
        <v>190</v>
      </c>
      <c r="H398" s="27">
        <v>0.1</v>
      </c>
      <c r="I398" s="26">
        <f t="shared" si="16"/>
        <v>1.5</v>
      </c>
      <c r="J398" s="37" t="s">
        <v>18</v>
      </c>
      <c r="K398" s="51"/>
      <c r="T398" s="2"/>
    </row>
    <row r="399" spans="1:20" ht="27.75" customHeight="1">
      <c r="A399" s="218" t="s">
        <v>207</v>
      </c>
      <c r="B399" s="219"/>
      <c r="C399" s="30"/>
      <c r="D399" s="30"/>
      <c r="E399" s="30"/>
      <c r="F399" s="52">
        <v>376</v>
      </c>
      <c r="G399" s="33" t="s">
        <v>190</v>
      </c>
      <c r="H399" s="27">
        <v>0.1</v>
      </c>
      <c r="I399" s="26">
        <f t="shared" si="16"/>
        <v>37.6</v>
      </c>
      <c r="J399" s="37" t="s">
        <v>18</v>
      </c>
      <c r="K399" s="51"/>
      <c r="T399" s="2"/>
    </row>
    <row r="400" spans="1:20" ht="26.25" thickBot="1">
      <c r="A400" s="209" t="s">
        <v>208</v>
      </c>
      <c r="B400" s="210"/>
      <c r="C400" s="30"/>
      <c r="D400" s="30"/>
      <c r="E400" s="30"/>
      <c r="F400" s="55">
        <v>840</v>
      </c>
      <c r="G400" s="56" t="s">
        <v>190</v>
      </c>
      <c r="H400" s="57">
        <v>0.1</v>
      </c>
      <c r="I400" s="58">
        <f t="shared" si="16"/>
        <v>84</v>
      </c>
      <c r="J400" s="37" t="s">
        <v>18</v>
      </c>
      <c r="K400" s="51"/>
      <c r="T400" s="2"/>
    </row>
    <row r="401" spans="1:20" s="4" customFormat="1" ht="18.75" customHeight="1" thickTop="1">
      <c r="A401" s="211" t="s">
        <v>209</v>
      </c>
      <c r="B401" s="212"/>
      <c r="C401" s="59"/>
      <c r="D401" s="59"/>
      <c r="E401" s="59"/>
      <c r="F401" s="60">
        <f>SUM(F382:F400)</f>
        <v>13354</v>
      </c>
      <c r="G401" s="61"/>
      <c r="H401" s="62"/>
      <c r="I401" s="63">
        <f>SUM(I382:I400)</f>
        <v>2449.75</v>
      </c>
      <c r="J401" s="43"/>
      <c r="K401" s="64"/>
      <c r="L401" s="3"/>
      <c r="M401" s="3"/>
      <c r="N401" s="3"/>
      <c r="O401" s="3"/>
      <c r="P401" s="3"/>
      <c r="Q401" s="3"/>
      <c r="R401" s="3"/>
      <c r="S401" s="3"/>
      <c r="T401" s="3"/>
    </row>
    <row r="402" spans="1:20" ht="41.25" customHeight="1">
      <c r="A402" s="218" t="s">
        <v>198</v>
      </c>
      <c r="B402" s="219"/>
      <c r="C402" s="30"/>
      <c r="D402" s="30"/>
      <c r="E402" s="30"/>
      <c r="F402" s="52">
        <v>1350</v>
      </c>
      <c r="G402" s="33" t="s">
        <v>210</v>
      </c>
      <c r="H402" s="27">
        <v>0.15</v>
      </c>
      <c r="I402" s="65">
        <f>F402*H402</f>
        <v>202.5</v>
      </c>
      <c r="J402" s="37" t="s">
        <v>18</v>
      </c>
      <c r="K402" s="51"/>
      <c r="T402" s="2"/>
    </row>
    <row r="403" spans="1:20" ht="39" customHeight="1">
      <c r="A403" s="218" t="s">
        <v>199</v>
      </c>
      <c r="B403" s="219"/>
      <c r="C403" s="30"/>
      <c r="D403" s="30"/>
      <c r="E403" s="30"/>
      <c r="F403" s="52">
        <v>550</v>
      </c>
      <c r="G403" s="33" t="s">
        <v>210</v>
      </c>
      <c r="H403" s="27">
        <v>0.25</v>
      </c>
      <c r="I403" s="65">
        <f>F403*H403</f>
        <v>137.5</v>
      </c>
      <c r="J403" s="37" t="s">
        <v>18</v>
      </c>
      <c r="K403" s="51"/>
      <c r="T403" s="2"/>
    </row>
    <row r="404" spans="1:20" ht="25.5">
      <c r="A404" s="209" t="s">
        <v>211</v>
      </c>
      <c r="B404" s="210"/>
      <c r="C404" s="30"/>
      <c r="D404" s="30"/>
      <c r="E404" s="30"/>
      <c r="F404" s="52">
        <v>830</v>
      </c>
      <c r="G404" s="33" t="s">
        <v>210</v>
      </c>
      <c r="H404" s="27">
        <v>0.25</v>
      </c>
      <c r="I404" s="65">
        <f>F404*H404</f>
        <v>207.5</v>
      </c>
      <c r="J404" s="37" t="s">
        <v>18</v>
      </c>
      <c r="K404" s="51"/>
      <c r="T404" s="2"/>
    </row>
    <row r="405" spans="1:20" ht="25.5">
      <c r="A405" s="209" t="s">
        <v>212</v>
      </c>
      <c r="B405" s="210"/>
      <c r="C405" s="30"/>
      <c r="D405" s="30"/>
      <c r="E405" s="30"/>
      <c r="F405" s="52">
        <v>278</v>
      </c>
      <c r="G405" s="33" t="s">
        <v>210</v>
      </c>
      <c r="H405" s="27">
        <v>0.25</v>
      </c>
      <c r="I405" s="65">
        <f>F405*H405</f>
        <v>69.5</v>
      </c>
      <c r="J405" s="37" t="s">
        <v>18</v>
      </c>
      <c r="K405" s="51"/>
      <c r="T405" s="2"/>
    </row>
    <row r="406" spans="1:20" ht="25.5">
      <c r="A406" s="209" t="s">
        <v>213</v>
      </c>
      <c r="B406" s="210"/>
      <c r="C406" s="30"/>
      <c r="D406" s="30"/>
      <c r="E406" s="30"/>
      <c r="F406" s="52">
        <v>750</v>
      </c>
      <c r="G406" s="33" t="s">
        <v>210</v>
      </c>
      <c r="H406" s="27">
        <v>0.1</v>
      </c>
      <c r="I406" s="65">
        <f>F406*H406</f>
        <v>75</v>
      </c>
      <c r="J406" s="37" t="s">
        <v>18</v>
      </c>
      <c r="K406" s="51"/>
      <c r="T406" s="2"/>
    </row>
    <row r="407" spans="1:20" ht="16.5" thickBot="1">
      <c r="A407" s="211" t="s">
        <v>214</v>
      </c>
      <c r="B407" s="212"/>
      <c r="C407" s="66"/>
      <c r="D407" s="66"/>
      <c r="E407" s="66"/>
      <c r="F407" s="67">
        <f>SUM(F402:F406)</f>
        <v>3758</v>
      </c>
      <c r="G407" s="68"/>
      <c r="H407" s="69"/>
      <c r="I407" s="70">
        <f>I402+I403+I404+I405+I406</f>
        <v>692</v>
      </c>
      <c r="J407" s="71"/>
      <c r="K407" s="51"/>
      <c r="T407" s="2"/>
    </row>
    <row r="408" spans="1:19" s="80" customFormat="1" ht="18.75" thickTop="1">
      <c r="A408" s="216" t="s">
        <v>215</v>
      </c>
      <c r="B408" s="217"/>
      <c r="C408" s="72"/>
      <c r="D408" s="72"/>
      <c r="E408" s="72"/>
      <c r="F408" s="73">
        <f>F401+F407</f>
        <v>17112</v>
      </c>
      <c r="G408" s="74"/>
      <c r="H408" s="75"/>
      <c r="I408" s="76">
        <f>I401+I407</f>
        <v>3141.75</v>
      </c>
      <c r="J408" s="77"/>
      <c r="K408" s="78"/>
      <c r="L408" s="79"/>
      <c r="M408" s="79"/>
      <c r="N408" s="79"/>
      <c r="O408" s="79"/>
      <c r="P408" s="79"/>
      <c r="Q408" s="79"/>
      <c r="R408" s="79"/>
      <c r="S408" s="79"/>
    </row>
    <row r="409" spans="1:20" s="80" customFormat="1" ht="29.25" customHeight="1" thickBot="1">
      <c r="A409" s="213" t="s">
        <v>216</v>
      </c>
      <c r="B409" s="214"/>
      <c r="C409" s="214"/>
      <c r="D409" s="214"/>
      <c r="E409" s="214"/>
      <c r="F409" s="214"/>
      <c r="G409" s="214"/>
      <c r="H409" s="214"/>
      <c r="I409" s="81">
        <f>J379+I408</f>
        <v>14065.5534</v>
      </c>
      <c r="J409" s="81"/>
      <c r="K409" s="82"/>
      <c r="L409" s="79"/>
      <c r="M409" s="79"/>
      <c r="N409" s="79"/>
      <c r="O409" s="79"/>
      <c r="P409" s="79"/>
      <c r="Q409" s="79"/>
      <c r="R409" s="79"/>
      <c r="S409" s="79"/>
      <c r="T409" s="79"/>
    </row>
    <row r="410" ht="25.5" customHeight="1"/>
    <row r="412" spans="1:5" ht="15.75">
      <c r="A412" s="215" t="s">
        <v>217</v>
      </c>
      <c r="B412" s="86" t="s">
        <v>218</v>
      </c>
      <c r="C412" s="86"/>
      <c r="D412" s="86"/>
      <c r="E412" s="86"/>
    </row>
    <row r="413" spans="1:21" s="1" customFormat="1" ht="15.75">
      <c r="A413" s="215"/>
      <c r="B413" s="86" t="s">
        <v>219</v>
      </c>
      <c r="C413" s="86"/>
      <c r="D413" s="86"/>
      <c r="E413" s="86"/>
      <c r="F413" s="83"/>
      <c r="G413" s="85"/>
      <c r="U413" s="2"/>
    </row>
    <row r="414" spans="1:21" s="1" customFormat="1" ht="15.75">
      <c r="A414" s="215"/>
      <c r="B414" s="86" t="s">
        <v>220</v>
      </c>
      <c r="C414" s="86"/>
      <c r="D414" s="86"/>
      <c r="E414" s="86"/>
      <c r="F414" s="83"/>
      <c r="G414" s="85"/>
      <c r="U414" s="2"/>
    </row>
    <row r="415" spans="1:21" s="1" customFormat="1" ht="12.75">
      <c r="A415" s="2"/>
      <c r="B415" s="2"/>
      <c r="C415" s="83"/>
      <c r="D415" s="2"/>
      <c r="E415" s="84"/>
      <c r="F415" s="83"/>
      <c r="G415" s="85"/>
      <c r="U415" s="2"/>
    </row>
    <row r="418" spans="2:8" ht="12.75">
      <c r="B418" s="87" t="s">
        <v>221</v>
      </c>
      <c r="C418" s="87"/>
      <c r="E418" s="88"/>
      <c r="F418" s="88"/>
      <c r="G418" s="207" t="s">
        <v>222</v>
      </c>
      <c r="H418" s="207"/>
    </row>
    <row r="424" spans="2:8" ht="12.75">
      <c r="B424" s="87" t="s">
        <v>223</v>
      </c>
      <c r="C424" s="87"/>
      <c r="G424" s="208" t="s">
        <v>501</v>
      </c>
      <c r="H424" s="208"/>
    </row>
  </sheetData>
  <sheetProtection/>
  <mergeCells count="39">
    <mergeCell ref="A1:K1"/>
    <mergeCell ref="A2:K2"/>
    <mergeCell ref="A279:C279"/>
    <mergeCell ref="A280:K280"/>
    <mergeCell ref="A378:C378"/>
    <mergeCell ref="A379:I379"/>
    <mergeCell ref="A380:J380"/>
    <mergeCell ref="A381:B381"/>
    <mergeCell ref="A382:B382"/>
    <mergeCell ref="A383:B383"/>
    <mergeCell ref="A384:B384"/>
    <mergeCell ref="A385:B385"/>
    <mergeCell ref="A386:B386"/>
    <mergeCell ref="A387:B387"/>
    <mergeCell ref="A388:B388"/>
    <mergeCell ref="A405:B405"/>
    <mergeCell ref="A397:B397"/>
    <mergeCell ref="A398:B398"/>
    <mergeCell ref="A399:B399"/>
    <mergeCell ref="A406:B406"/>
    <mergeCell ref="A389:B389"/>
    <mergeCell ref="A390:B390"/>
    <mergeCell ref="A402:B402"/>
    <mergeCell ref="A391:B391"/>
    <mergeCell ref="A392:B392"/>
    <mergeCell ref="A393:B393"/>
    <mergeCell ref="A394:B394"/>
    <mergeCell ref="A395:B395"/>
    <mergeCell ref="A396:B396"/>
    <mergeCell ref="G418:H418"/>
    <mergeCell ref="G424:H424"/>
    <mergeCell ref="A400:B400"/>
    <mergeCell ref="A401:B401"/>
    <mergeCell ref="A409:H409"/>
    <mergeCell ref="A412:A414"/>
    <mergeCell ref="A407:B407"/>
    <mergeCell ref="A408:B408"/>
    <mergeCell ref="A403:B403"/>
    <mergeCell ref="A404:B404"/>
  </mergeCells>
  <printOptions/>
  <pageMargins left="0.15748031496062992" right="0.15748031496062992" top="0.3937007874015748" bottom="0.3937007874015748" header="0.1968503937007874" footer="0.1968503937007874"/>
  <pageSetup horizontalDpi="600" verticalDpi="600" orientation="landscape" paperSize="9" scale="5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V424"/>
  <sheetViews>
    <sheetView zoomScale="125" zoomScaleNormal="125" workbookViewId="0" topLeftCell="C358">
      <selection activeCell="J369" sqref="J369"/>
    </sheetView>
  </sheetViews>
  <sheetFormatPr defaultColWidth="9.140625" defaultRowHeight="12.75"/>
  <cols>
    <col min="1" max="1" width="59.57421875" style="2" customWidth="1"/>
    <col min="2" max="2" width="40.140625" style="2" customWidth="1"/>
    <col min="3" max="3" width="33.140625" style="83" customWidth="1"/>
    <col min="4" max="4" width="11.140625" style="2" customWidth="1"/>
    <col min="5" max="5" width="15.57421875" style="84" customWidth="1"/>
    <col min="6" max="6" width="16.421875" style="83" customWidth="1"/>
    <col min="7" max="7" width="15.140625" style="85" customWidth="1"/>
    <col min="8" max="8" width="16.7109375" style="1" customWidth="1"/>
    <col min="9" max="9" width="13.57421875" style="1" customWidth="1"/>
    <col min="10" max="10" width="14.140625" style="1" bestFit="1" customWidth="1"/>
    <col min="11" max="11" width="15.8515625" style="1" customWidth="1"/>
    <col min="12" max="20" width="9.140625" style="1" customWidth="1"/>
    <col min="21" max="16384" width="9.140625" style="2" customWidth="1"/>
  </cols>
  <sheetData>
    <row r="1" spans="1:21" s="1" customFormat="1" ht="30" customHeight="1">
      <c r="A1" s="203" t="s">
        <v>0</v>
      </c>
      <c r="B1" s="204"/>
      <c r="C1" s="204"/>
      <c r="D1" s="204"/>
      <c r="E1" s="204"/>
      <c r="F1" s="204"/>
      <c r="G1" s="204"/>
      <c r="H1" s="204"/>
      <c r="I1" s="204"/>
      <c r="J1" s="204"/>
      <c r="K1" s="205"/>
      <c r="U1" s="2"/>
    </row>
    <row r="2" spans="1:21" s="3" customFormat="1" ht="35.25" customHeight="1">
      <c r="A2" s="197" t="s">
        <v>1</v>
      </c>
      <c r="B2" s="222"/>
      <c r="C2" s="222"/>
      <c r="D2" s="222"/>
      <c r="E2" s="222"/>
      <c r="F2" s="222"/>
      <c r="G2" s="222"/>
      <c r="H2" s="222"/>
      <c r="I2" s="222"/>
      <c r="J2" s="222"/>
      <c r="K2" s="223"/>
      <c r="U2" s="4"/>
    </row>
    <row r="3" spans="1:11" s="10" customFormat="1" ht="110.25" customHeight="1">
      <c r="A3" s="5" t="s">
        <v>2</v>
      </c>
      <c r="B3" s="6" t="s">
        <v>3</v>
      </c>
      <c r="C3" s="6" t="s">
        <v>4</v>
      </c>
      <c r="D3" s="6"/>
      <c r="E3" s="6"/>
      <c r="F3" s="7" t="s">
        <v>5</v>
      </c>
      <c r="G3" s="7" t="s">
        <v>6</v>
      </c>
      <c r="H3" s="6" t="s">
        <v>7</v>
      </c>
      <c r="I3" s="8" t="s">
        <v>8</v>
      </c>
      <c r="J3" s="8" t="s">
        <v>9</v>
      </c>
      <c r="K3" s="9" t="s">
        <v>10</v>
      </c>
    </row>
    <row r="4" spans="1:13" s="1" customFormat="1" ht="25.5" customHeight="1">
      <c r="A4" s="11">
        <v>4</v>
      </c>
      <c r="B4" s="12" t="s">
        <v>11</v>
      </c>
      <c r="C4" s="12" t="s">
        <v>12</v>
      </c>
      <c r="D4" s="12" t="s">
        <v>13</v>
      </c>
      <c r="E4" s="12" t="s">
        <v>14</v>
      </c>
      <c r="F4" s="13">
        <v>14.79</v>
      </c>
      <c r="G4" s="14">
        <f>2</f>
        <v>2</v>
      </c>
      <c r="H4" s="15">
        <f aca="true" t="shared" si="0" ref="H4:H67">G4*F4</f>
        <v>29.58</v>
      </c>
      <c r="I4" s="16">
        <v>1.26</v>
      </c>
      <c r="J4" s="16">
        <f aca="true" t="shared" si="1" ref="J4:J67">G4*I4</f>
        <v>2.52</v>
      </c>
      <c r="K4" s="17" t="s">
        <v>15</v>
      </c>
      <c r="M4" s="18"/>
    </row>
    <row r="5" spans="1:13" ht="12.75">
      <c r="A5" s="11">
        <v>5</v>
      </c>
      <c r="B5" s="12" t="s">
        <v>16</v>
      </c>
      <c r="C5" s="12" t="s">
        <v>12</v>
      </c>
      <c r="D5" s="12" t="s">
        <v>17</v>
      </c>
      <c r="E5" s="12" t="s">
        <v>14</v>
      </c>
      <c r="F5" s="13">
        <v>10.65</v>
      </c>
      <c r="G5" s="14">
        <f>1+7+3</f>
        <v>11</v>
      </c>
      <c r="H5" s="15">
        <f t="shared" si="0"/>
        <v>117.15</v>
      </c>
      <c r="I5" s="16">
        <v>1.064</v>
      </c>
      <c r="J5" s="16">
        <f t="shared" si="1"/>
        <v>11.704</v>
      </c>
      <c r="K5" s="19" t="s">
        <v>18</v>
      </c>
      <c r="M5" s="18"/>
    </row>
    <row r="6" spans="1:13" ht="12.75">
      <c r="A6" s="11">
        <v>8</v>
      </c>
      <c r="B6" s="14" t="s">
        <v>19</v>
      </c>
      <c r="C6" s="12" t="s">
        <v>12</v>
      </c>
      <c r="D6" s="12" t="s">
        <v>20</v>
      </c>
      <c r="E6" s="12" t="s">
        <v>14</v>
      </c>
      <c r="F6" s="20">
        <v>61.6</v>
      </c>
      <c r="G6" s="14">
        <f>1</f>
        <v>1</v>
      </c>
      <c r="H6" s="15">
        <f t="shared" si="0"/>
        <v>61.6</v>
      </c>
      <c r="I6" s="16">
        <v>3.92</v>
      </c>
      <c r="J6" s="16">
        <f t="shared" si="1"/>
        <v>3.92</v>
      </c>
      <c r="K6" s="19" t="s">
        <v>18</v>
      </c>
      <c r="M6" s="18"/>
    </row>
    <row r="7" spans="1:21" s="1" customFormat="1" ht="12.75">
      <c r="A7" s="11">
        <v>9</v>
      </c>
      <c r="B7" s="12" t="s">
        <v>21</v>
      </c>
      <c r="C7" s="12" t="s">
        <v>12</v>
      </c>
      <c r="D7" s="12" t="s">
        <v>20</v>
      </c>
      <c r="E7" s="12" t="s">
        <v>14</v>
      </c>
      <c r="F7" s="20">
        <v>55</v>
      </c>
      <c r="G7" s="14">
        <f>1</f>
        <v>1</v>
      </c>
      <c r="H7" s="15">
        <f t="shared" si="0"/>
        <v>55</v>
      </c>
      <c r="I7" s="16">
        <v>3.36</v>
      </c>
      <c r="J7" s="16">
        <f t="shared" si="1"/>
        <v>3.36</v>
      </c>
      <c r="K7" s="19" t="s">
        <v>18</v>
      </c>
      <c r="M7" s="18"/>
      <c r="U7" s="2"/>
    </row>
    <row r="8" spans="1:21" s="1" customFormat="1" ht="12.75">
      <c r="A8" s="11">
        <v>11</v>
      </c>
      <c r="B8" s="12" t="s">
        <v>22</v>
      </c>
      <c r="C8" s="12" t="s">
        <v>12</v>
      </c>
      <c r="D8" s="12" t="s">
        <v>20</v>
      </c>
      <c r="E8" s="12" t="s">
        <v>14</v>
      </c>
      <c r="F8" s="13">
        <v>44.5</v>
      </c>
      <c r="G8" s="14">
        <f>3-1</f>
        <v>2</v>
      </c>
      <c r="H8" s="15">
        <f t="shared" si="0"/>
        <v>89</v>
      </c>
      <c r="I8" s="16">
        <v>3.92</v>
      </c>
      <c r="J8" s="16">
        <f t="shared" si="1"/>
        <v>7.84</v>
      </c>
      <c r="K8" s="19" t="s">
        <v>18</v>
      </c>
      <c r="M8" s="18"/>
      <c r="U8" s="2"/>
    </row>
    <row r="9" spans="1:21" s="1" customFormat="1" ht="12.75">
      <c r="A9" s="11">
        <v>18</v>
      </c>
      <c r="B9" s="12" t="s">
        <v>23</v>
      </c>
      <c r="C9" s="12" t="s">
        <v>12</v>
      </c>
      <c r="D9" s="12" t="s">
        <v>24</v>
      </c>
      <c r="E9" s="12" t="s">
        <v>14</v>
      </c>
      <c r="F9" s="13">
        <v>21.8</v>
      </c>
      <c r="G9" s="14">
        <f>2</f>
        <v>2</v>
      </c>
      <c r="H9" s="15">
        <f t="shared" si="0"/>
        <v>43.6</v>
      </c>
      <c r="I9" s="16">
        <v>2.1</v>
      </c>
      <c r="J9" s="16">
        <f t="shared" si="1"/>
        <v>4.2</v>
      </c>
      <c r="K9" s="19" t="s">
        <v>18</v>
      </c>
      <c r="M9" s="18"/>
      <c r="U9" s="2"/>
    </row>
    <row r="10" spans="1:21" s="1" customFormat="1" ht="12.75">
      <c r="A10" s="11">
        <v>24</v>
      </c>
      <c r="B10" s="12" t="s">
        <v>25</v>
      </c>
      <c r="C10" s="12" t="s">
        <v>12</v>
      </c>
      <c r="D10" s="12" t="s">
        <v>20</v>
      </c>
      <c r="E10" s="12" t="s">
        <v>14</v>
      </c>
      <c r="F10" s="20">
        <v>98</v>
      </c>
      <c r="G10" s="14">
        <f>2</f>
        <v>2</v>
      </c>
      <c r="H10" s="15">
        <f t="shared" si="0"/>
        <v>196</v>
      </c>
      <c r="I10" s="16">
        <v>5.04</v>
      </c>
      <c r="J10" s="16">
        <f t="shared" si="1"/>
        <v>10.08</v>
      </c>
      <c r="K10" s="19" t="s">
        <v>18</v>
      </c>
      <c r="M10" s="18"/>
      <c r="U10" s="2"/>
    </row>
    <row r="11" spans="1:21" s="1" customFormat="1" ht="12.75">
      <c r="A11" s="11">
        <v>30</v>
      </c>
      <c r="B11" s="12" t="s">
        <v>26</v>
      </c>
      <c r="C11" s="12" t="s">
        <v>12</v>
      </c>
      <c r="D11" s="12" t="s">
        <v>27</v>
      </c>
      <c r="E11" s="12" t="s">
        <v>14</v>
      </c>
      <c r="F11" s="13">
        <v>27.5</v>
      </c>
      <c r="G11" s="14">
        <f>4-1-1-2</f>
        <v>0</v>
      </c>
      <c r="H11" s="15">
        <f t="shared" si="0"/>
        <v>0</v>
      </c>
      <c r="I11" s="16">
        <v>2.66</v>
      </c>
      <c r="J11" s="16">
        <f t="shared" si="1"/>
        <v>0</v>
      </c>
      <c r="K11" s="19" t="s">
        <v>18</v>
      </c>
      <c r="M11" s="18"/>
      <c r="U11" s="2"/>
    </row>
    <row r="12" spans="1:21" s="1" customFormat="1" ht="25.5">
      <c r="A12" s="11">
        <v>34</v>
      </c>
      <c r="B12" s="12" t="s">
        <v>28</v>
      </c>
      <c r="C12" s="12" t="s">
        <v>12</v>
      </c>
      <c r="D12" s="12" t="s">
        <v>27</v>
      </c>
      <c r="E12" s="12" t="s">
        <v>14</v>
      </c>
      <c r="F12" s="13">
        <v>20.95</v>
      </c>
      <c r="G12" s="14">
        <f>1-1</f>
        <v>0</v>
      </c>
      <c r="H12" s="15">
        <f t="shared" si="0"/>
        <v>0</v>
      </c>
      <c r="I12" s="16">
        <v>1.82</v>
      </c>
      <c r="J12" s="16">
        <f t="shared" si="1"/>
        <v>0</v>
      </c>
      <c r="K12" s="19" t="s">
        <v>18</v>
      </c>
      <c r="M12" s="18"/>
      <c r="U12" s="2"/>
    </row>
    <row r="13" spans="1:21" s="1" customFormat="1" ht="25.5">
      <c r="A13" s="11">
        <v>43</v>
      </c>
      <c r="B13" s="12" t="s">
        <v>29</v>
      </c>
      <c r="C13" s="12" t="s">
        <v>12</v>
      </c>
      <c r="D13" s="12" t="s">
        <v>27</v>
      </c>
      <c r="E13" s="12" t="s">
        <v>14</v>
      </c>
      <c r="F13" s="13">
        <v>6.35</v>
      </c>
      <c r="G13" s="14">
        <f>2-1</f>
        <v>1</v>
      </c>
      <c r="H13" s="15">
        <f t="shared" si="0"/>
        <v>6.35</v>
      </c>
      <c r="I13" s="16">
        <v>0.616</v>
      </c>
      <c r="J13" s="16">
        <f t="shared" si="1"/>
        <v>0.616</v>
      </c>
      <c r="K13" s="19" t="s">
        <v>18</v>
      </c>
      <c r="M13" s="18"/>
      <c r="U13" s="2"/>
    </row>
    <row r="14" spans="1:21" s="1" customFormat="1" ht="12.75">
      <c r="A14" s="11">
        <v>45</v>
      </c>
      <c r="B14" s="12" t="s">
        <v>30</v>
      </c>
      <c r="C14" s="12" t="s">
        <v>12</v>
      </c>
      <c r="D14" s="12" t="s">
        <v>20</v>
      </c>
      <c r="E14" s="12" t="s">
        <v>14</v>
      </c>
      <c r="F14" s="20">
        <v>43.5</v>
      </c>
      <c r="G14" s="14">
        <f>1+2</f>
        <v>3</v>
      </c>
      <c r="H14" s="15">
        <f t="shared" si="0"/>
        <v>130.5</v>
      </c>
      <c r="I14" s="16">
        <v>3.64</v>
      </c>
      <c r="J14" s="16">
        <f t="shared" si="1"/>
        <v>10.92</v>
      </c>
      <c r="K14" s="19" t="s">
        <v>18</v>
      </c>
      <c r="M14" s="18"/>
      <c r="U14" s="2"/>
    </row>
    <row r="15" spans="1:21" s="1" customFormat="1" ht="12.75">
      <c r="A15" s="11">
        <v>47</v>
      </c>
      <c r="B15" s="12" t="s">
        <v>31</v>
      </c>
      <c r="C15" s="12" t="s">
        <v>12</v>
      </c>
      <c r="D15" s="12" t="s">
        <v>24</v>
      </c>
      <c r="E15" s="12" t="s">
        <v>14</v>
      </c>
      <c r="F15" s="13">
        <v>54.14</v>
      </c>
      <c r="G15" s="14">
        <f>7-2</f>
        <v>5</v>
      </c>
      <c r="H15" s="15">
        <f t="shared" si="0"/>
        <v>270.7</v>
      </c>
      <c r="I15" s="16">
        <v>4.48</v>
      </c>
      <c r="J15" s="16">
        <f t="shared" si="1"/>
        <v>22.400000000000002</v>
      </c>
      <c r="K15" s="19" t="s">
        <v>18</v>
      </c>
      <c r="M15" s="18"/>
      <c r="U15" s="2"/>
    </row>
    <row r="16" spans="1:21" s="1" customFormat="1" ht="12.75">
      <c r="A16" s="11">
        <v>52</v>
      </c>
      <c r="B16" s="12" t="s">
        <v>32</v>
      </c>
      <c r="C16" s="12" t="s">
        <v>12</v>
      </c>
      <c r="D16" s="12" t="s">
        <v>27</v>
      </c>
      <c r="E16" s="12" t="s">
        <v>14</v>
      </c>
      <c r="F16" s="13">
        <v>10.8</v>
      </c>
      <c r="G16" s="14">
        <f>1</f>
        <v>1</v>
      </c>
      <c r="H16" s="15">
        <f t="shared" si="0"/>
        <v>10.8</v>
      </c>
      <c r="I16" s="16">
        <v>0.98</v>
      </c>
      <c r="J16" s="16">
        <f t="shared" si="1"/>
        <v>0.98</v>
      </c>
      <c r="K16" s="19" t="s">
        <v>18</v>
      </c>
      <c r="M16" s="18"/>
      <c r="U16" s="2"/>
    </row>
    <row r="17" spans="1:21" s="1" customFormat="1" ht="12.75">
      <c r="A17" s="11">
        <v>55</v>
      </c>
      <c r="B17" s="12" t="s">
        <v>33</v>
      </c>
      <c r="C17" s="12" t="s">
        <v>12</v>
      </c>
      <c r="D17" s="12" t="s">
        <v>17</v>
      </c>
      <c r="E17" s="12" t="s">
        <v>14</v>
      </c>
      <c r="F17" s="13">
        <v>17</v>
      </c>
      <c r="G17" s="14">
        <f>2</f>
        <v>2</v>
      </c>
      <c r="H17" s="15">
        <f t="shared" si="0"/>
        <v>34</v>
      </c>
      <c r="I17" s="16">
        <v>1.6239999999999999</v>
      </c>
      <c r="J17" s="16">
        <f t="shared" si="1"/>
        <v>3.2479999999999998</v>
      </c>
      <c r="K17" s="19" t="s">
        <v>18</v>
      </c>
      <c r="M17" s="18"/>
      <c r="U17" s="2"/>
    </row>
    <row r="18" spans="1:21" s="1" customFormat="1" ht="12.75">
      <c r="A18" s="11">
        <v>80</v>
      </c>
      <c r="B18" s="12" t="s">
        <v>34</v>
      </c>
      <c r="C18" s="12" t="s">
        <v>12</v>
      </c>
      <c r="D18" s="12" t="s">
        <v>20</v>
      </c>
      <c r="E18" s="12" t="s">
        <v>14</v>
      </c>
      <c r="F18" s="13">
        <v>58</v>
      </c>
      <c r="G18" s="14">
        <f>2+1</f>
        <v>3</v>
      </c>
      <c r="H18" s="15">
        <f t="shared" si="0"/>
        <v>174</v>
      </c>
      <c r="I18" s="16">
        <v>4.62</v>
      </c>
      <c r="J18" s="16">
        <f t="shared" si="1"/>
        <v>13.86</v>
      </c>
      <c r="K18" s="19" t="s">
        <v>18</v>
      </c>
      <c r="M18" s="18"/>
      <c r="U18" s="2"/>
    </row>
    <row r="19" spans="1:21" s="1" customFormat="1" ht="12.75">
      <c r="A19" s="11">
        <v>83</v>
      </c>
      <c r="B19" s="12" t="s">
        <v>33</v>
      </c>
      <c r="C19" s="12" t="s">
        <v>12</v>
      </c>
      <c r="D19" s="12" t="s">
        <v>17</v>
      </c>
      <c r="E19" s="12" t="s">
        <v>14</v>
      </c>
      <c r="F19" s="20">
        <v>7.8</v>
      </c>
      <c r="G19" s="14">
        <f>2</f>
        <v>2</v>
      </c>
      <c r="H19" s="15">
        <f t="shared" si="0"/>
        <v>15.6</v>
      </c>
      <c r="I19" s="16">
        <v>0.616</v>
      </c>
      <c r="J19" s="16">
        <f t="shared" si="1"/>
        <v>1.232</v>
      </c>
      <c r="K19" s="19" t="s">
        <v>18</v>
      </c>
      <c r="M19" s="18"/>
      <c r="U19" s="2"/>
    </row>
    <row r="20" spans="1:21" s="1" customFormat="1" ht="12.75">
      <c r="A20" s="11">
        <v>87</v>
      </c>
      <c r="B20" s="12" t="s">
        <v>35</v>
      </c>
      <c r="C20" s="12" t="s">
        <v>12</v>
      </c>
      <c r="D20" s="12" t="s">
        <v>36</v>
      </c>
      <c r="E20" s="12" t="s">
        <v>14</v>
      </c>
      <c r="F20" s="13">
        <v>64.89</v>
      </c>
      <c r="G20" s="14">
        <v>2</v>
      </c>
      <c r="H20" s="15">
        <f t="shared" si="0"/>
        <v>129.78</v>
      </c>
      <c r="I20" s="16">
        <v>4.2</v>
      </c>
      <c r="J20" s="16">
        <f t="shared" si="1"/>
        <v>8.4</v>
      </c>
      <c r="K20" s="19" t="s">
        <v>18</v>
      </c>
      <c r="M20" s="18"/>
      <c r="U20" s="2"/>
    </row>
    <row r="21" spans="1:21" s="1" customFormat="1" ht="12.75">
      <c r="A21" s="11">
        <v>88</v>
      </c>
      <c r="B21" s="12" t="s">
        <v>33</v>
      </c>
      <c r="C21" s="12" t="s">
        <v>12</v>
      </c>
      <c r="D21" s="12" t="s">
        <v>17</v>
      </c>
      <c r="E21" s="12" t="s">
        <v>14</v>
      </c>
      <c r="F21" s="13">
        <v>11.3</v>
      </c>
      <c r="G21" s="14">
        <v>1</v>
      </c>
      <c r="H21" s="15">
        <f t="shared" si="0"/>
        <v>11.3</v>
      </c>
      <c r="I21" s="16">
        <v>1.12</v>
      </c>
      <c r="J21" s="16">
        <f t="shared" si="1"/>
        <v>1.12</v>
      </c>
      <c r="K21" s="19" t="s">
        <v>18</v>
      </c>
      <c r="M21" s="18"/>
      <c r="U21" s="2"/>
    </row>
    <row r="22" spans="1:21" s="1" customFormat="1" ht="12.75">
      <c r="A22" s="11">
        <v>93</v>
      </c>
      <c r="B22" s="12" t="s">
        <v>33</v>
      </c>
      <c r="C22" s="12" t="s">
        <v>12</v>
      </c>
      <c r="D22" s="12" t="s">
        <v>17</v>
      </c>
      <c r="E22" s="12" t="s">
        <v>14</v>
      </c>
      <c r="F22" s="13">
        <v>11.29</v>
      </c>
      <c r="G22" s="14">
        <f>5-2</f>
        <v>3</v>
      </c>
      <c r="H22" s="15">
        <f t="shared" si="0"/>
        <v>33.87</v>
      </c>
      <c r="I22" s="16">
        <v>1.12</v>
      </c>
      <c r="J22" s="16">
        <f t="shared" si="1"/>
        <v>3.3600000000000003</v>
      </c>
      <c r="K22" s="19" t="s">
        <v>18</v>
      </c>
      <c r="M22" s="18"/>
      <c r="U22" s="2"/>
    </row>
    <row r="23" spans="1:21" s="1" customFormat="1" ht="12.75">
      <c r="A23" s="11">
        <v>94</v>
      </c>
      <c r="B23" s="12" t="s">
        <v>33</v>
      </c>
      <c r="C23" s="12" t="s">
        <v>12</v>
      </c>
      <c r="D23" s="12" t="s">
        <v>17</v>
      </c>
      <c r="E23" s="12" t="s">
        <v>14</v>
      </c>
      <c r="F23" s="13">
        <v>11.29</v>
      </c>
      <c r="G23" s="14">
        <f>3</f>
        <v>3</v>
      </c>
      <c r="H23" s="15">
        <f t="shared" si="0"/>
        <v>33.87</v>
      </c>
      <c r="I23" s="16">
        <v>1.12</v>
      </c>
      <c r="J23" s="16">
        <f t="shared" si="1"/>
        <v>3.3600000000000003</v>
      </c>
      <c r="K23" s="19" t="s">
        <v>18</v>
      </c>
      <c r="M23" s="18"/>
      <c r="U23" s="2"/>
    </row>
    <row r="24" spans="1:21" s="1" customFormat="1" ht="25.5">
      <c r="A24" s="11">
        <v>97</v>
      </c>
      <c r="B24" s="12" t="s">
        <v>37</v>
      </c>
      <c r="C24" s="12" t="s">
        <v>12</v>
      </c>
      <c r="D24" s="12" t="s">
        <v>17</v>
      </c>
      <c r="E24" s="12" t="s">
        <v>14</v>
      </c>
      <c r="F24" s="13">
        <v>13.59</v>
      </c>
      <c r="G24" s="14">
        <f>1+2</f>
        <v>3</v>
      </c>
      <c r="H24" s="15">
        <f t="shared" si="0"/>
        <v>40.769999999999996</v>
      </c>
      <c r="I24" s="16">
        <v>1.1760000000000002</v>
      </c>
      <c r="J24" s="16">
        <f t="shared" si="1"/>
        <v>3.5280000000000005</v>
      </c>
      <c r="K24" s="19" t="s">
        <v>18</v>
      </c>
      <c r="M24" s="18"/>
      <c r="U24" s="2"/>
    </row>
    <row r="25" spans="1:21" s="1" customFormat="1" ht="12.75">
      <c r="A25" s="11">
        <v>98</v>
      </c>
      <c r="B25" s="14" t="s">
        <v>38</v>
      </c>
      <c r="C25" s="12" t="s">
        <v>12</v>
      </c>
      <c r="D25" s="12" t="s">
        <v>17</v>
      </c>
      <c r="E25" s="12" t="s">
        <v>14</v>
      </c>
      <c r="F25" s="20">
        <v>3.69</v>
      </c>
      <c r="G25" s="14">
        <f>2</f>
        <v>2</v>
      </c>
      <c r="H25" s="15">
        <f t="shared" si="0"/>
        <v>7.38</v>
      </c>
      <c r="I25" s="16">
        <v>0.364</v>
      </c>
      <c r="J25" s="16">
        <f t="shared" si="1"/>
        <v>0.728</v>
      </c>
      <c r="K25" s="19" t="s">
        <v>18</v>
      </c>
      <c r="M25" s="18"/>
      <c r="U25" s="2"/>
    </row>
    <row r="26" spans="1:21" s="1" customFormat="1" ht="12.75">
      <c r="A26" s="11">
        <v>100</v>
      </c>
      <c r="B26" s="12" t="s">
        <v>39</v>
      </c>
      <c r="C26" s="12" t="s">
        <v>12</v>
      </c>
      <c r="D26" s="12" t="s">
        <v>27</v>
      </c>
      <c r="E26" s="12" t="s">
        <v>14</v>
      </c>
      <c r="F26" s="13">
        <v>6.5</v>
      </c>
      <c r="G26" s="14">
        <f>7</f>
        <v>7</v>
      </c>
      <c r="H26" s="15">
        <f t="shared" si="0"/>
        <v>45.5</v>
      </c>
      <c r="I26" s="16">
        <v>0.6439999999999999</v>
      </c>
      <c r="J26" s="16">
        <f t="shared" si="1"/>
        <v>4.507999999999999</v>
      </c>
      <c r="K26" s="19" t="s">
        <v>18</v>
      </c>
      <c r="M26" s="18"/>
      <c r="U26" s="2"/>
    </row>
    <row r="27" spans="1:21" s="1" customFormat="1" ht="12.75">
      <c r="A27" s="11">
        <v>101</v>
      </c>
      <c r="B27" s="12" t="s">
        <v>40</v>
      </c>
      <c r="C27" s="12" t="s">
        <v>12</v>
      </c>
      <c r="D27" s="12" t="s">
        <v>17</v>
      </c>
      <c r="E27" s="12" t="s">
        <v>14</v>
      </c>
      <c r="F27" s="20">
        <v>4</v>
      </c>
      <c r="G27" s="14">
        <f>1</f>
        <v>1</v>
      </c>
      <c r="H27" s="15">
        <f t="shared" si="0"/>
        <v>4</v>
      </c>
      <c r="I27" s="16">
        <v>0.392</v>
      </c>
      <c r="J27" s="16">
        <f t="shared" si="1"/>
        <v>0.392</v>
      </c>
      <c r="K27" s="19" t="s">
        <v>18</v>
      </c>
      <c r="M27" s="18"/>
      <c r="U27" s="2"/>
    </row>
    <row r="28" spans="1:21" s="1" customFormat="1" ht="12.75">
      <c r="A28" s="11">
        <v>102</v>
      </c>
      <c r="B28" s="12" t="s">
        <v>41</v>
      </c>
      <c r="C28" s="12" t="s">
        <v>12</v>
      </c>
      <c r="D28" s="12" t="s">
        <v>17</v>
      </c>
      <c r="E28" s="12" t="s">
        <v>14</v>
      </c>
      <c r="F28" s="13">
        <v>13.09</v>
      </c>
      <c r="G28" s="14">
        <f>2</f>
        <v>2</v>
      </c>
      <c r="H28" s="15">
        <f t="shared" si="0"/>
        <v>26.18</v>
      </c>
      <c r="I28" s="16">
        <v>1.1760000000000002</v>
      </c>
      <c r="J28" s="16">
        <f t="shared" si="1"/>
        <v>2.3520000000000003</v>
      </c>
      <c r="K28" s="19" t="s">
        <v>18</v>
      </c>
      <c r="M28" s="18"/>
      <c r="U28" s="2"/>
    </row>
    <row r="29" spans="1:21" s="1" customFormat="1" ht="12.75">
      <c r="A29" s="11">
        <v>103</v>
      </c>
      <c r="B29" s="12" t="s">
        <v>42</v>
      </c>
      <c r="C29" s="12" t="s">
        <v>12</v>
      </c>
      <c r="D29" s="12" t="s">
        <v>27</v>
      </c>
      <c r="E29" s="12" t="s">
        <v>14</v>
      </c>
      <c r="F29" s="13">
        <v>13.8</v>
      </c>
      <c r="G29" s="14">
        <f>1</f>
        <v>1</v>
      </c>
      <c r="H29" s="15">
        <f t="shared" si="0"/>
        <v>13.8</v>
      </c>
      <c r="I29" s="16">
        <v>1.19</v>
      </c>
      <c r="J29" s="16">
        <f t="shared" si="1"/>
        <v>1.19</v>
      </c>
      <c r="K29" s="19" t="s">
        <v>18</v>
      </c>
      <c r="M29" s="18"/>
      <c r="U29" s="2"/>
    </row>
    <row r="30" spans="1:21" s="1" customFormat="1" ht="12.75">
      <c r="A30" s="11">
        <v>104</v>
      </c>
      <c r="B30" s="12" t="s">
        <v>43</v>
      </c>
      <c r="C30" s="12" t="s">
        <v>12</v>
      </c>
      <c r="D30" s="12" t="s">
        <v>13</v>
      </c>
      <c r="E30" s="12" t="s">
        <v>14</v>
      </c>
      <c r="F30" s="13">
        <v>11.89</v>
      </c>
      <c r="G30" s="14">
        <f>1+3</f>
        <v>4</v>
      </c>
      <c r="H30" s="15">
        <f t="shared" si="0"/>
        <v>47.56</v>
      </c>
      <c r="I30" s="16">
        <v>1.19</v>
      </c>
      <c r="J30" s="16">
        <f t="shared" si="1"/>
        <v>4.76</v>
      </c>
      <c r="K30" s="19" t="s">
        <v>18</v>
      </c>
      <c r="M30" s="18"/>
      <c r="U30" s="2"/>
    </row>
    <row r="31" spans="1:21" s="1" customFormat="1" ht="12.75">
      <c r="A31" s="11">
        <v>111</v>
      </c>
      <c r="B31" s="12" t="s">
        <v>44</v>
      </c>
      <c r="C31" s="12" t="s">
        <v>12</v>
      </c>
      <c r="D31" s="12" t="s">
        <v>17</v>
      </c>
      <c r="E31" s="12" t="s">
        <v>14</v>
      </c>
      <c r="F31" s="13">
        <v>8.4</v>
      </c>
      <c r="G31" s="14">
        <f>88-5-12-12-57</f>
        <v>2</v>
      </c>
      <c r="H31" s="15">
        <f t="shared" si="0"/>
        <v>16.8</v>
      </c>
      <c r="I31" s="16">
        <v>0.7</v>
      </c>
      <c r="J31" s="16">
        <f t="shared" si="1"/>
        <v>1.4</v>
      </c>
      <c r="K31" s="19" t="s">
        <v>18</v>
      </c>
      <c r="M31" s="18"/>
      <c r="U31" s="2"/>
    </row>
    <row r="32" spans="1:21" s="1" customFormat="1" ht="12.75">
      <c r="A32" s="11">
        <v>121</v>
      </c>
      <c r="B32" s="12" t="s">
        <v>45</v>
      </c>
      <c r="C32" s="12" t="s">
        <v>12</v>
      </c>
      <c r="D32" s="12" t="s">
        <v>20</v>
      </c>
      <c r="E32" s="12" t="s">
        <v>14</v>
      </c>
      <c r="F32" s="13">
        <v>47.5</v>
      </c>
      <c r="G32" s="14">
        <v>1</v>
      </c>
      <c r="H32" s="15">
        <f t="shared" si="0"/>
        <v>47.5</v>
      </c>
      <c r="I32" s="16">
        <v>3.78</v>
      </c>
      <c r="J32" s="16">
        <f t="shared" si="1"/>
        <v>3.78</v>
      </c>
      <c r="K32" s="19" t="s">
        <v>18</v>
      </c>
      <c r="M32" s="18"/>
      <c r="U32" s="2"/>
    </row>
    <row r="33" spans="1:21" s="1" customFormat="1" ht="12.75">
      <c r="A33" s="11">
        <v>158</v>
      </c>
      <c r="B33" s="12" t="s">
        <v>46</v>
      </c>
      <c r="C33" s="12" t="s">
        <v>12</v>
      </c>
      <c r="D33" s="12" t="s">
        <v>47</v>
      </c>
      <c r="E33" s="12" t="s">
        <v>14</v>
      </c>
      <c r="F33" s="13">
        <v>126.75</v>
      </c>
      <c r="G33" s="14">
        <f>1</f>
        <v>1</v>
      </c>
      <c r="H33" s="15">
        <f t="shared" si="0"/>
        <v>126.75</v>
      </c>
      <c r="I33" s="16">
        <v>8.96</v>
      </c>
      <c r="J33" s="16">
        <f t="shared" si="1"/>
        <v>8.96</v>
      </c>
      <c r="K33" s="19" t="s">
        <v>18</v>
      </c>
      <c r="M33" s="18"/>
      <c r="U33" s="2"/>
    </row>
    <row r="34" spans="1:21" s="1" customFormat="1" ht="12.75">
      <c r="A34" s="11">
        <v>163</v>
      </c>
      <c r="B34" s="12" t="s">
        <v>48</v>
      </c>
      <c r="C34" s="12" t="s">
        <v>12</v>
      </c>
      <c r="D34" s="12" t="s">
        <v>47</v>
      </c>
      <c r="E34" s="12" t="s">
        <v>14</v>
      </c>
      <c r="F34" s="13">
        <v>182</v>
      </c>
      <c r="G34" s="14">
        <f>1+1-1</f>
        <v>1</v>
      </c>
      <c r="H34" s="15">
        <f t="shared" si="0"/>
        <v>182</v>
      </c>
      <c r="I34" s="16">
        <v>10.64</v>
      </c>
      <c r="J34" s="16">
        <f t="shared" si="1"/>
        <v>10.64</v>
      </c>
      <c r="K34" s="19" t="s">
        <v>18</v>
      </c>
      <c r="M34" s="18"/>
      <c r="U34" s="2"/>
    </row>
    <row r="35" spans="1:21" s="1" customFormat="1" ht="12.75">
      <c r="A35" s="11">
        <v>164</v>
      </c>
      <c r="B35" s="12" t="s">
        <v>49</v>
      </c>
      <c r="C35" s="12" t="s">
        <v>12</v>
      </c>
      <c r="D35" s="12" t="s">
        <v>47</v>
      </c>
      <c r="E35" s="12" t="s">
        <v>14</v>
      </c>
      <c r="F35" s="13">
        <v>162.5</v>
      </c>
      <c r="G35" s="14">
        <f>1</f>
        <v>1</v>
      </c>
      <c r="H35" s="15">
        <f t="shared" si="0"/>
        <v>162.5</v>
      </c>
      <c r="I35" s="16">
        <v>11.76</v>
      </c>
      <c r="J35" s="16">
        <f t="shared" si="1"/>
        <v>11.76</v>
      </c>
      <c r="K35" s="19" t="s">
        <v>18</v>
      </c>
      <c r="M35" s="18"/>
      <c r="U35" s="2"/>
    </row>
    <row r="36" spans="1:21" s="1" customFormat="1" ht="12.75">
      <c r="A36" s="11">
        <v>166</v>
      </c>
      <c r="B36" s="12" t="s">
        <v>50</v>
      </c>
      <c r="C36" s="12" t="s">
        <v>12</v>
      </c>
      <c r="D36" s="12" t="s">
        <v>47</v>
      </c>
      <c r="E36" s="12" t="s">
        <v>14</v>
      </c>
      <c r="F36" s="20">
        <v>162</v>
      </c>
      <c r="G36" s="14">
        <f>1+1</f>
        <v>2</v>
      </c>
      <c r="H36" s="15">
        <f t="shared" si="0"/>
        <v>324</v>
      </c>
      <c r="I36" s="16">
        <v>12.32</v>
      </c>
      <c r="J36" s="16">
        <f t="shared" si="1"/>
        <v>24.64</v>
      </c>
      <c r="K36" s="19" t="s">
        <v>18</v>
      </c>
      <c r="M36" s="18"/>
      <c r="U36" s="2"/>
    </row>
    <row r="37" spans="1:21" s="1" customFormat="1" ht="12.75">
      <c r="A37" s="11">
        <v>180</v>
      </c>
      <c r="B37" s="12" t="s">
        <v>51</v>
      </c>
      <c r="C37" s="12" t="s">
        <v>12</v>
      </c>
      <c r="D37" s="12" t="s">
        <v>52</v>
      </c>
      <c r="E37" s="12" t="s">
        <v>14</v>
      </c>
      <c r="F37" s="13">
        <v>8.8</v>
      </c>
      <c r="G37" s="14">
        <v>1</v>
      </c>
      <c r="H37" s="15">
        <f t="shared" si="0"/>
        <v>8.8</v>
      </c>
      <c r="I37" s="16">
        <v>0.784</v>
      </c>
      <c r="J37" s="16">
        <f t="shared" si="1"/>
        <v>0.784</v>
      </c>
      <c r="K37" s="19" t="s">
        <v>18</v>
      </c>
      <c r="M37" s="18"/>
      <c r="U37" s="2"/>
    </row>
    <row r="38" spans="1:21" s="1" customFormat="1" ht="12.75">
      <c r="A38" s="11">
        <v>182</v>
      </c>
      <c r="B38" s="12" t="s">
        <v>53</v>
      </c>
      <c r="C38" s="12" t="s">
        <v>12</v>
      </c>
      <c r="D38" s="12" t="s">
        <v>52</v>
      </c>
      <c r="E38" s="12" t="s">
        <v>14</v>
      </c>
      <c r="F38" s="13">
        <v>11.6</v>
      </c>
      <c r="G38" s="14">
        <v>2</v>
      </c>
      <c r="H38" s="15">
        <f t="shared" si="0"/>
        <v>23.2</v>
      </c>
      <c r="I38" s="16">
        <v>1.008</v>
      </c>
      <c r="J38" s="16">
        <f t="shared" si="1"/>
        <v>2.016</v>
      </c>
      <c r="K38" s="19" t="s">
        <v>18</v>
      </c>
      <c r="M38" s="18"/>
      <c r="U38" s="2"/>
    </row>
    <row r="39" spans="1:21" s="1" customFormat="1" ht="12.75">
      <c r="A39" s="11">
        <v>184</v>
      </c>
      <c r="B39" s="12" t="s">
        <v>54</v>
      </c>
      <c r="C39" s="12" t="s">
        <v>12</v>
      </c>
      <c r="D39" s="12" t="s">
        <v>52</v>
      </c>
      <c r="E39" s="12" t="s">
        <v>14</v>
      </c>
      <c r="F39" s="13">
        <v>8.8</v>
      </c>
      <c r="G39" s="14">
        <v>2</v>
      </c>
      <c r="H39" s="15">
        <f t="shared" si="0"/>
        <v>17.6</v>
      </c>
      <c r="I39" s="16">
        <v>0.7</v>
      </c>
      <c r="J39" s="16">
        <f t="shared" si="1"/>
        <v>1.4</v>
      </c>
      <c r="K39" s="19" t="s">
        <v>18</v>
      </c>
      <c r="M39" s="18"/>
      <c r="U39" s="2"/>
    </row>
    <row r="40" spans="1:21" s="1" customFormat="1" ht="12.75">
      <c r="A40" s="11">
        <v>185</v>
      </c>
      <c r="B40" s="12" t="s">
        <v>55</v>
      </c>
      <c r="C40" s="12" t="s">
        <v>12</v>
      </c>
      <c r="D40" s="12" t="s">
        <v>52</v>
      </c>
      <c r="E40" s="12" t="s">
        <v>14</v>
      </c>
      <c r="F40" s="13">
        <v>7.9</v>
      </c>
      <c r="G40" s="14">
        <v>1</v>
      </c>
      <c r="H40" s="15">
        <f t="shared" si="0"/>
        <v>7.9</v>
      </c>
      <c r="I40" s="16">
        <v>0.616</v>
      </c>
      <c r="J40" s="16">
        <f t="shared" si="1"/>
        <v>0.616</v>
      </c>
      <c r="K40" s="19" t="s">
        <v>18</v>
      </c>
      <c r="M40" s="18"/>
      <c r="U40" s="2"/>
    </row>
    <row r="41" spans="1:21" s="1" customFormat="1" ht="12.75">
      <c r="A41" s="11">
        <v>187</v>
      </c>
      <c r="B41" s="12" t="s">
        <v>56</v>
      </c>
      <c r="C41" s="12" t="s">
        <v>12</v>
      </c>
      <c r="D41" s="12" t="s">
        <v>52</v>
      </c>
      <c r="E41" s="12" t="s">
        <v>14</v>
      </c>
      <c r="F41" s="13">
        <v>12.3</v>
      </c>
      <c r="G41" s="14">
        <v>1</v>
      </c>
      <c r="H41" s="15">
        <f t="shared" si="0"/>
        <v>12.3</v>
      </c>
      <c r="I41" s="16">
        <v>0.924</v>
      </c>
      <c r="J41" s="16">
        <f t="shared" si="1"/>
        <v>0.924</v>
      </c>
      <c r="K41" s="19" t="s">
        <v>18</v>
      </c>
      <c r="M41" s="18"/>
      <c r="U41" s="2"/>
    </row>
    <row r="42" spans="1:21" s="1" customFormat="1" ht="12.75">
      <c r="A42" s="11">
        <v>188</v>
      </c>
      <c r="B42" s="12" t="s">
        <v>57</v>
      </c>
      <c r="C42" s="12" t="s">
        <v>12</v>
      </c>
      <c r="D42" s="12" t="s">
        <v>52</v>
      </c>
      <c r="E42" s="12" t="s">
        <v>14</v>
      </c>
      <c r="F42" s="13">
        <v>12.3</v>
      </c>
      <c r="G42" s="14">
        <v>1</v>
      </c>
      <c r="H42" s="15">
        <f t="shared" si="0"/>
        <v>12.3</v>
      </c>
      <c r="I42" s="16">
        <v>0.924</v>
      </c>
      <c r="J42" s="16">
        <f t="shared" si="1"/>
        <v>0.924</v>
      </c>
      <c r="K42" s="19" t="s">
        <v>18</v>
      </c>
      <c r="M42" s="18"/>
      <c r="U42" s="2"/>
    </row>
    <row r="43" spans="1:21" s="1" customFormat="1" ht="12.75">
      <c r="A43" s="11">
        <v>189</v>
      </c>
      <c r="B43" s="12" t="s">
        <v>58</v>
      </c>
      <c r="C43" s="12" t="s">
        <v>12</v>
      </c>
      <c r="D43" s="12" t="s">
        <v>52</v>
      </c>
      <c r="E43" s="12" t="s">
        <v>14</v>
      </c>
      <c r="F43" s="13">
        <v>13.05</v>
      </c>
      <c r="G43" s="14">
        <v>2</v>
      </c>
      <c r="H43" s="15">
        <f t="shared" si="0"/>
        <v>26.1</v>
      </c>
      <c r="I43" s="16">
        <v>1.092</v>
      </c>
      <c r="J43" s="16">
        <f t="shared" si="1"/>
        <v>2.184</v>
      </c>
      <c r="K43" s="19" t="s">
        <v>18</v>
      </c>
      <c r="M43" s="18"/>
      <c r="U43" s="2"/>
    </row>
    <row r="44" spans="1:21" s="1" customFormat="1" ht="12.75">
      <c r="A44" s="11">
        <v>192</v>
      </c>
      <c r="B44" s="12" t="s">
        <v>59</v>
      </c>
      <c r="C44" s="12" t="s">
        <v>12</v>
      </c>
      <c r="D44" s="12" t="s">
        <v>52</v>
      </c>
      <c r="E44" s="12" t="s">
        <v>14</v>
      </c>
      <c r="F44" s="13">
        <v>8.45</v>
      </c>
      <c r="G44" s="14">
        <v>2</v>
      </c>
      <c r="H44" s="15">
        <f t="shared" si="0"/>
        <v>16.9</v>
      </c>
      <c r="I44" s="16">
        <v>0.5880000000000001</v>
      </c>
      <c r="J44" s="16">
        <f t="shared" si="1"/>
        <v>1.1760000000000002</v>
      </c>
      <c r="K44" s="19" t="s">
        <v>18</v>
      </c>
      <c r="M44" s="18"/>
      <c r="U44" s="2"/>
    </row>
    <row r="45" spans="1:21" s="1" customFormat="1" ht="12.75">
      <c r="A45" s="11">
        <v>196</v>
      </c>
      <c r="B45" s="12" t="s">
        <v>60</v>
      </c>
      <c r="C45" s="12" t="s">
        <v>12</v>
      </c>
      <c r="D45" s="12" t="s">
        <v>52</v>
      </c>
      <c r="E45" s="12" t="s">
        <v>14</v>
      </c>
      <c r="F45" s="13">
        <v>8.45</v>
      </c>
      <c r="G45" s="14">
        <v>1</v>
      </c>
      <c r="H45" s="15">
        <f t="shared" si="0"/>
        <v>8.45</v>
      </c>
      <c r="I45" s="16">
        <v>0.5880000000000001</v>
      </c>
      <c r="J45" s="16">
        <f t="shared" si="1"/>
        <v>0.5880000000000001</v>
      </c>
      <c r="K45" s="19" t="s">
        <v>18</v>
      </c>
      <c r="M45" s="18"/>
      <c r="U45" s="2"/>
    </row>
    <row r="46" spans="1:21" s="1" customFormat="1" ht="12.75">
      <c r="A46" s="11">
        <v>197</v>
      </c>
      <c r="B46" s="12" t="s">
        <v>61</v>
      </c>
      <c r="C46" s="12" t="s">
        <v>12</v>
      </c>
      <c r="D46" s="12" t="s">
        <v>52</v>
      </c>
      <c r="E46" s="12" t="s">
        <v>14</v>
      </c>
      <c r="F46" s="20">
        <v>7.5</v>
      </c>
      <c r="G46" s="14">
        <v>1</v>
      </c>
      <c r="H46" s="15">
        <f t="shared" si="0"/>
        <v>7.5</v>
      </c>
      <c r="I46" s="16">
        <v>0.532</v>
      </c>
      <c r="J46" s="16">
        <f t="shared" si="1"/>
        <v>0.532</v>
      </c>
      <c r="K46" s="19" t="s">
        <v>18</v>
      </c>
      <c r="M46" s="18"/>
      <c r="U46" s="2"/>
    </row>
    <row r="47" spans="1:21" s="1" customFormat="1" ht="12.75">
      <c r="A47" s="11">
        <v>198</v>
      </c>
      <c r="B47" s="12" t="s">
        <v>62</v>
      </c>
      <c r="C47" s="12" t="s">
        <v>12</v>
      </c>
      <c r="D47" s="12" t="s">
        <v>52</v>
      </c>
      <c r="E47" s="12" t="s">
        <v>14</v>
      </c>
      <c r="F47" s="20">
        <v>7</v>
      </c>
      <c r="G47" s="14">
        <v>3</v>
      </c>
      <c r="H47" s="15">
        <f t="shared" si="0"/>
        <v>21</v>
      </c>
      <c r="I47" s="16">
        <v>0.616</v>
      </c>
      <c r="J47" s="16">
        <f t="shared" si="1"/>
        <v>1.8479999999999999</v>
      </c>
      <c r="K47" s="19" t="s">
        <v>18</v>
      </c>
      <c r="M47" s="18"/>
      <c r="U47" s="2"/>
    </row>
    <row r="48" spans="1:21" s="1" customFormat="1" ht="12.75">
      <c r="A48" s="11">
        <v>199</v>
      </c>
      <c r="B48" s="12" t="s">
        <v>63</v>
      </c>
      <c r="C48" s="12" t="s">
        <v>12</v>
      </c>
      <c r="D48" s="12" t="s">
        <v>52</v>
      </c>
      <c r="E48" s="12" t="s">
        <v>14</v>
      </c>
      <c r="F48" s="13">
        <v>13.8</v>
      </c>
      <c r="G48" s="14">
        <v>3</v>
      </c>
      <c r="H48" s="15">
        <f t="shared" si="0"/>
        <v>41.400000000000006</v>
      </c>
      <c r="I48" s="16">
        <v>1.1480000000000001</v>
      </c>
      <c r="J48" s="16">
        <f t="shared" si="1"/>
        <v>3.4440000000000004</v>
      </c>
      <c r="K48" s="19" t="s">
        <v>18</v>
      </c>
      <c r="M48" s="18"/>
      <c r="U48" s="2"/>
    </row>
    <row r="49" spans="1:21" s="1" customFormat="1" ht="12.75">
      <c r="A49" s="11">
        <v>200</v>
      </c>
      <c r="B49" s="12" t="s">
        <v>64</v>
      </c>
      <c r="C49" s="12" t="s">
        <v>12</v>
      </c>
      <c r="D49" s="12" t="s">
        <v>52</v>
      </c>
      <c r="E49" s="12" t="s">
        <v>14</v>
      </c>
      <c r="F49" s="13">
        <v>12.52</v>
      </c>
      <c r="G49" s="14">
        <v>1</v>
      </c>
      <c r="H49" s="15">
        <f t="shared" si="0"/>
        <v>12.52</v>
      </c>
      <c r="I49" s="16">
        <v>1.1760000000000002</v>
      </c>
      <c r="J49" s="16">
        <f t="shared" si="1"/>
        <v>1.1760000000000002</v>
      </c>
      <c r="K49" s="19" t="s">
        <v>18</v>
      </c>
      <c r="M49" s="18"/>
      <c r="U49" s="2"/>
    </row>
    <row r="50" spans="1:21" s="1" customFormat="1" ht="12.75">
      <c r="A50" s="11">
        <v>201</v>
      </c>
      <c r="B50" s="12" t="s">
        <v>65</v>
      </c>
      <c r="C50" s="12" t="s">
        <v>12</v>
      </c>
      <c r="D50" s="12" t="s">
        <v>52</v>
      </c>
      <c r="E50" s="12" t="s">
        <v>14</v>
      </c>
      <c r="F50" s="20">
        <v>11.2</v>
      </c>
      <c r="G50" s="14">
        <v>2</v>
      </c>
      <c r="H50" s="15">
        <f t="shared" si="0"/>
        <v>22.4</v>
      </c>
      <c r="I50" s="16">
        <v>0.868</v>
      </c>
      <c r="J50" s="16">
        <f t="shared" si="1"/>
        <v>1.736</v>
      </c>
      <c r="K50" s="19" t="s">
        <v>18</v>
      </c>
      <c r="M50" s="18"/>
      <c r="U50" s="2"/>
    </row>
    <row r="51" spans="1:21" s="1" customFormat="1" ht="12.75">
      <c r="A51" s="11">
        <v>203</v>
      </c>
      <c r="B51" s="12" t="s">
        <v>66</v>
      </c>
      <c r="C51" s="12" t="s">
        <v>12</v>
      </c>
      <c r="D51" s="12" t="s">
        <v>52</v>
      </c>
      <c r="E51" s="12" t="s">
        <v>14</v>
      </c>
      <c r="F51" s="13">
        <v>13.05</v>
      </c>
      <c r="G51" s="14">
        <v>1</v>
      </c>
      <c r="H51" s="15">
        <f t="shared" si="0"/>
        <v>13.05</v>
      </c>
      <c r="I51" s="16">
        <v>1.1480000000000001</v>
      </c>
      <c r="J51" s="16">
        <f t="shared" si="1"/>
        <v>1.1480000000000001</v>
      </c>
      <c r="K51" s="19" t="s">
        <v>18</v>
      </c>
      <c r="M51" s="18"/>
      <c r="U51" s="2"/>
    </row>
    <row r="52" spans="1:21" s="1" customFormat="1" ht="12.75">
      <c r="A52" s="11">
        <v>204</v>
      </c>
      <c r="B52" s="12" t="s">
        <v>67</v>
      </c>
      <c r="C52" s="12" t="s">
        <v>12</v>
      </c>
      <c r="D52" s="12" t="s">
        <v>52</v>
      </c>
      <c r="E52" s="12" t="s">
        <v>14</v>
      </c>
      <c r="F52" s="13">
        <v>13.05</v>
      </c>
      <c r="G52" s="14">
        <v>2</v>
      </c>
      <c r="H52" s="15">
        <f t="shared" si="0"/>
        <v>26.1</v>
      </c>
      <c r="I52" s="16">
        <v>1.1480000000000001</v>
      </c>
      <c r="J52" s="16">
        <f t="shared" si="1"/>
        <v>2.2960000000000003</v>
      </c>
      <c r="K52" s="19" t="s">
        <v>18</v>
      </c>
      <c r="M52" s="18"/>
      <c r="U52" s="2"/>
    </row>
    <row r="53" spans="1:21" s="1" customFormat="1" ht="12.75">
      <c r="A53" s="11">
        <v>211</v>
      </c>
      <c r="B53" s="12" t="s">
        <v>68</v>
      </c>
      <c r="C53" s="12" t="s">
        <v>12</v>
      </c>
      <c r="D53" s="12" t="s">
        <v>17</v>
      </c>
      <c r="E53" s="12" t="s">
        <v>14</v>
      </c>
      <c r="F53" s="13">
        <v>37.7</v>
      </c>
      <c r="G53" s="14">
        <v>1</v>
      </c>
      <c r="H53" s="15">
        <f t="shared" si="0"/>
        <v>37.7</v>
      </c>
      <c r="I53" s="16">
        <v>3.696</v>
      </c>
      <c r="J53" s="16">
        <f t="shared" si="1"/>
        <v>3.696</v>
      </c>
      <c r="K53" s="19" t="s">
        <v>18</v>
      </c>
      <c r="M53" s="18"/>
      <c r="U53" s="2"/>
    </row>
    <row r="54" spans="1:21" s="1" customFormat="1" ht="12.75">
      <c r="A54" s="11">
        <v>220</v>
      </c>
      <c r="B54" s="12" t="s">
        <v>69</v>
      </c>
      <c r="C54" s="12" t="s">
        <v>12</v>
      </c>
      <c r="D54" s="12" t="s">
        <v>47</v>
      </c>
      <c r="E54" s="12" t="s">
        <v>14</v>
      </c>
      <c r="F54" s="20">
        <v>90</v>
      </c>
      <c r="G54" s="14">
        <f>1</f>
        <v>1</v>
      </c>
      <c r="H54" s="15">
        <f t="shared" si="0"/>
        <v>90</v>
      </c>
      <c r="I54" s="16">
        <v>6.72</v>
      </c>
      <c r="J54" s="16">
        <f t="shared" si="1"/>
        <v>6.72</v>
      </c>
      <c r="K54" s="19" t="s">
        <v>18</v>
      </c>
      <c r="M54" s="18"/>
      <c r="U54" s="2"/>
    </row>
    <row r="55" spans="1:21" s="1" customFormat="1" ht="12.75">
      <c r="A55" s="11">
        <v>221</v>
      </c>
      <c r="B55" s="12" t="s">
        <v>70</v>
      </c>
      <c r="C55" s="12" t="s">
        <v>12</v>
      </c>
      <c r="D55" s="12" t="s">
        <v>47</v>
      </c>
      <c r="E55" s="12" t="s">
        <v>14</v>
      </c>
      <c r="F55" s="20">
        <v>182</v>
      </c>
      <c r="G55" s="14">
        <f>1</f>
        <v>1</v>
      </c>
      <c r="H55" s="15">
        <f t="shared" si="0"/>
        <v>182</v>
      </c>
      <c r="I55" s="16">
        <v>12.6</v>
      </c>
      <c r="J55" s="16">
        <f t="shared" si="1"/>
        <v>12.6</v>
      </c>
      <c r="K55" s="19" t="s">
        <v>18</v>
      </c>
      <c r="M55" s="18"/>
      <c r="U55" s="2"/>
    </row>
    <row r="56" spans="1:21" s="1" customFormat="1" ht="12.75">
      <c r="A56" s="11">
        <v>299</v>
      </c>
      <c r="B56" s="12" t="s">
        <v>71</v>
      </c>
      <c r="C56" s="12" t="s">
        <v>12</v>
      </c>
      <c r="D56" s="12" t="s">
        <v>20</v>
      </c>
      <c r="E56" s="12" t="s">
        <v>14</v>
      </c>
      <c r="F56" s="13">
        <v>42</v>
      </c>
      <c r="G56" s="14">
        <v>1</v>
      </c>
      <c r="H56" s="15">
        <f t="shared" si="0"/>
        <v>42</v>
      </c>
      <c r="I56" s="16">
        <v>3.36</v>
      </c>
      <c r="J56" s="16">
        <f t="shared" si="1"/>
        <v>3.36</v>
      </c>
      <c r="K56" s="19" t="s">
        <v>18</v>
      </c>
      <c r="M56" s="18"/>
      <c r="U56" s="2"/>
    </row>
    <row r="57" spans="1:21" s="1" customFormat="1" ht="12.75">
      <c r="A57" s="11">
        <v>307</v>
      </c>
      <c r="B57" s="12" t="s">
        <v>72</v>
      </c>
      <c r="C57" s="12" t="s">
        <v>12</v>
      </c>
      <c r="D57" s="12" t="s">
        <v>13</v>
      </c>
      <c r="E57" s="12" t="s">
        <v>14</v>
      </c>
      <c r="F57" s="13">
        <v>15</v>
      </c>
      <c r="G57" s="14">
        <v>2</v>
      </c>
      <c r="H57" s="15">
        <f t="shared" si="0"/>
        <v>30</v>
      </c>
      <c r="I57" s="16">
        <v>1.428</v>
      </c>
      <c r="J57" s="16">
        <f t="shared" si="1"/>
        <v>2.856</v>
      </c>
      <c r="K57" s="19"/>
      <c r="M57" s="18"/>
      <c r="U57" s="2"/>
    </row>
    <row r="58" spans="1:21" s="1" customFormat="1" ht="25.5">
      <c r="A58" s="11">
        <v>315</v>
      </c>
      <c r="B58" s="12" t="s">
        <v>73</v>
      </c>
      <c r="C58" s="12" t="s">
        <v>74</v>
      </c>
      <c r="D58" s="12" t="s">
        <v>14</v>
      </c>
      <c r="E58" s="12" t="s">
        <v>75</v>
      </c>
      <c r="F58" s="20">
        <v>25</v>
      </c>
      <c r="G58" s="14">
        <v>1</v>
      </c>
      <c r="H58" s="15">
        <f t="shared" si="0"/>
        <v>25</v>
      </c>
      <c r="I58" s="16">
        <v>2.268</v>
      </c>
      <c r="J58" s="16">
        <f t="shared" si="1"/>
        <v>2.268</v>
      </c>
      <c r="K58" s="19" t="s">
        <v>18</v>
      </c>
      <c r="M58" s="18"/>
      <c r="U58" s="2"/>
    </row>
    <row r="59" spans="1:21" s="1" customFormat="1" ht="12.75">
      <c r="A59" s="11">
        <v>331</v>
      </c>
      <c r="B59" s="12" t="s">
        <v>76</v>
      </c>
      <c r="C59" s="12" t="s">
        <v>74</v>
      </c>
      <c r="D59" s="12" t="s">
        <v>14</v>
      </c>
      <c r="E59" s="12" t="s">
        <v>77</v>
      </c>
      <c r="F59" s="20">
        <v>50</v>
      </c>
      <c r="G59" s="14">
        <v>1</v>
      </c>
      <c r="H59" s="15">
        <f t="shared" si="0"/>
        <v>50</v>
      </c>
      <c r="I59" s="16">
        <v>4.788000000000001</v>
      </c>
      <c r="J59" s="16">
        <f t="shared" si="1"/>
        <v>4.788000000000001</v>
      </c>
      <c r="K59" s="19" t="s">
        <v>18</v>
      </c>
      <c r="M59" s="18"/>
      <c r="U59" s="2"/>
    </row>
    <row r="60" spans="1:21" s="1" customFormat="1" ht="12.75">
      <c r="A60" s="11">
        <v>340</v>
      </c>
      <c r="B60" s="12" t="s">
        <v>78</v>
      </c>
      <c r="C60" s="12" t="s">
        <v>74</v>
      </c>
      <c r="D60" s="12" t="s">
        <v>14</v>
      </c>
      <c r="E60" s="12" t="s">
        <v>75</v>
      </c>
      <c r="F60" s="20">
        <v>35</v>
      </c>
      <c r="G60" s="14">
        <v>13</v>
      </c>
      <c r="H60" s="15">
        <f t="shared" si="0"/>
        <v>455</v>
      </c>
      <c r="I60" s="16">
        <v>3.08</v>
      </c>
      <c r="J60" s="16">
        <f t="shared" si="1"/>
        <v>40.04</v>
      </c>
      <c r="K60" s="19" t="s">
        <v>18</v>
      </c>
      <c r="M60" s="18"/>
      <c r="U60" s="2"/>
    </row>
    <row r="61" spans="1:21" s="1" customFormat="1" ht="25.5">
      <c r="A61" s="11">
        <v>348</v>
      </c>
      <c r="B61" s="12" t="s">
        <v>79</v>
      </c>
      <c r="C61" s="12" t="s">
        <v>74</v>
      </c>
      <c r="D61" s="12" t="s">
        <v>14</v>
      </c>
      <c r="E61" s="12" t="s">
        <v>80</v>
      </c>
      <c r="F61" s="13">
        <v>18.5</v>
      </c>
      <c r="G61" s="14">
        <v>1</v>
      </c>
      <c r="H61" s="15">
        <f t="shared" si="0"/>
        <v>18.5</v>
      </c>
      <c r="I61" s="16">
        <v>1.736</v>
      </c>
      <c r="J61" s="16">
        <f t="shared" si="1"/>
        <v>1.736</v>
      </c>
      <c r="K61" s="19" t="s">
        <v>18</v>
      </c>
      <c r="M61" s="18"/>
      <c r="U61" s="2"/>
    </row>
    <row r="62" spans="1:21" s="1" customFormat="1" ht="12.75">
      <c r="A62" s="11">
        <v>411</v>
      </c>
      <c r="B62" s="12" t="s">
        <v>81</v>
      </c>
      <c r="C62" s="12" t="s">
        <v>74</v>
      </c>
      <c r="D62" s="12" t="s">
        <v>14</v>
      </c>
      <c r="E62" s="12" t="s">
        <v>82</v>
      </c>
      <c r="F62" s="20">
        <v>120</v>
      </c>
      <c r="G62" s="14">
        <v>1</v>
      </c>
      <c r="H62" s="15">
        <f t="shared" si="0"/>
        <v>120</v>
      </c>
      <c r="I62" s="16">
        <v>9.66</v>
      </c>
      <c r="J62" s="16">
        <f t="shared" si="1"/>
        <v>9.66</v>
      </c>
      <c r="K62" s="19" t="s">
        <v>18</v>
      </c>
      <c r="M62" s="18"/>
      <c r="U62" s="2"/>
    </row>
    <row r="63" spans="1:21" s="1" customFormat="1" ht="12.75">
      <c r="A63" s="11">
        <v>454</v>
      </c>
      <c r="B63" s="12" t="s">
        <v>83</v>
      </c>
      <c r="C63" s="12" t="s">
        <v>12</v>
      </c>
      <c r="D63" s="12" t="s">
        <v>20</v>
      </c>
      <c r="E63" s="12" t="s">
        <v>14</v>
      </c>
      <c r="F63" s="20">
        <v>54</v>
      </c>
      <c r="G63" s="14">
        <v>1</v>
      </c>
      <c r="H63" s="15">
        <f t="shared" si="0"/>
        <v>54</v>
      </c>
      <c r="I63" s="16">
        <v>4.9</v>
      </c>
      <c r="J63" s="16">
        <f t="shared" si="1"/>
        <v>4.9</v>
      </c>
      <c r="K63" s="19" t="s">
        <v>18</v>
      </c>
      <c r="M63" s="18"/>
      <c r="U63" s="2"/>
    </row>
    <row r="64" spans="1:21" s="1" customFormat="1" ht="12.75">
      <c r="A64" s="11">
        <v>455</v>
      </c>
      <c r="B64" s="12" t="s">
        <v>84</v>
      </c>
      <c r="C64" s="12" t="s">
        <v>12</v>
      </c>
      <c r="D64" s="12" t="s">
        <v>20</v>
      </c>
      <c r="E64" s="12" t="s">
        <v>14</v>
      </c>
      <c r="F64" s="20">
        <v>57</v>
      </c>
      <c r="G64" s="14">
        <f>1+1+1+1</f>
        <v>4</v>
      </c>
      <c r="H64" s="15">
        <f t="shared" si="0"/>
        <v>228</v>
      </c>
      <c r="I64" s="16">
        <v>3.36</v>
      </c>
      <c r="J64" s="16">
        <f t="shared" si="1"/>
        <v>13.44</v>
      </c>
      <c r="K64" s="19" t="s">
        <v>18</v>
      </c>
      <c r="M64" s="18"/>
      <c r="U64" s="2"/>
    </row>
    <row r="65" spans="1:21" s="1" customFormat="1" ht="12.75">
      <c r="A65" s="11">
        <v>460</v>
      </c>
      <c r="B65" s="12" t="s">
        <v>85</v>
      </c>
      <c r="C65" s="12" t="s">
        <v>12</v>
      </c>
      <c r="D65" s="12" t="s">
        <v>13</v>
      </c>
      <c r="E65" s="12" t="s">
        <v>14</v>
      </c>
      <c r="F65" s="20">
        <v>37</v>
      </c>
      <c r="G65" s="14">
        <f>1</f>
        <v>1</v>
      </c>
      <c r="H65" s="15">
        <f t="shared" si="0"/>
        <v>37</v>
      </c>
      <c r="I65" s="16">
        <v>3.5</v>
      </c>
      <c r="J65" s="16">
        <f t="shared" si="1"/>
        <v>3.5</v>
      </c>
      <c r="K65" s="19" t="s">
        <v>18</v>
      </c>
      <c r="M65" s="18"/>
      <c r="U65" s="2"/>
    </row>
    <row r="66" spans="1:21" s="1" customFormat="1" ht="12.75">
      <c r="A66" s="11">
        <v>492</v>
      </c>
      <c r="B66" s="12" t="s">
        <v>72</v>
      </c>
      <c r="C66" s="12" t="s">
        <v>12</v>
      </c>
      <c r="D66" s="12" t="s">
        <v>13</v>
      </c>
      <c r="E66" s="12" t="s">
        <v>14</v>
      </c>
      <c r="F66" s="13">
        <v>15</v>
      </c>
      <c r="G66" s="14">
        <f>3</f>
        <v>3</v>
      </c>
      <c r="H66" s="15">
        <f t="shared" si="0"/>
        <v>45</v>
      </c>
      <c r="I66" s="16">
        <v>1.26</v>
      </c>
      <c r="J66" s="16">
        <f t="shared" si="1"/>
        <v>3.7800000000000002</v>
      </c>
      <c r="K66" s="19" t="s">
        <v>18</v>
      </c>
      <c r="M66" s="18"/>
      <c r="U66" s="2"/>
    </row>
    <row r="67" spans="1:21" s="1" customFormat="1" ht="12.75">
      <c r="A67" s="11">
        <v>517</v>
      </c>
      <c r="B67" s="12" t="s">
        <v>86</v>
      </c>
      <c r="C67" s="12" t="s">
        <v>12</v>
      </c>
      <c r="D67" s="12" t="s">
        <v>52</v>
      </c>
      <c r="E67" s="12" t="s">
        <v>14</v>
      </c>
      <c r="F67" s="13">
        <v>7</v>
      </c>
      <c r="G67" s="14">
        <v>2</v>
      </c>
      <c r="H67" s="15">
        <f t="shared" si="0"/>
        <v>14</v>
      </c>
      <c r="I67" s="16">
        <v>0.504</v>
      </c>
      <c r="J67" s="16">
        <f t="shared" si="1"/>
        <v>1.008</v>
      </c>
      <c r="K67" s="19" t="s">
        <v>18</v>
      </c>
      <c r="M67" s="18"/>
      <c r="U67" s="2"/>
    </row>
    <row r="68" spans="1:21" s="1" customFormat="1" ht="12.75">
      <c r="A68" s="11">
        <v>519</v>
      </c>
      <c r="B68" s="12" t="s">
        <v>87</v>
      </c>
      <c r="C68" s="12" t="s">
        <v>12</v>
      </c>
      <c r="D68" s="12" t="s">
        <v>52</v>
      </c>
      <c r="E68" s="12" t="s">
        <v>14</v>
      </c>
      <c r="F68" s="20">
        <v>8.45</v>
      </c>
      <c r="G68" s="14">
        <v>2</v>
      </c>
      <c r="H68" s="15">
        <f aca="true" t="shared" si="2" ref="H68:H131">G68*F68</f>
        <v>16.9</v>
      </c>
      <c r="I68" s="16">
        <v>0.5880000000000001</v>
      </c>
      <c r="J68" s="16">
        <f aca="true" t="shared" si="3" ref="J68:J131">G68*I68</f>
        <v>1.1760000000000002</v>
      </c>
      <c r="K68" s="19" t="s">
        <v>18</v>
      </c>
      <c r="M68" s="18"/>
      <c r="U68" s="2"/>
    </row>
    <row r="69" spans="1:21" s="1" customFormat="1" ht="12.75">
      <c r="A69" s="11">
        <v>520</v>
      </c>
      <c r="B69" s="12" t="s">
        <v>88</v>
      </c>
      <c r="C69" s="12" t="s">
        <v>12</v>
      </c>
      <c r="D69" s="12" t="s">
        <v>52</v>
      </c>
      <c r="E69" s="12" t="s">
        <v>14</v>
      </c>
      <c r="F69" s="13">
        <v>9</v>
      </c>
      <c r="G69" s="14">
        <v>1</v>
      </c>
      <c r="H69" s="15">
        <f t="shared" si="2"/>
        <v>9</v>
      </c>
      <c r="I69" s="16">
        <v>0.6719999999999999</v>
      </c>
      <c r="J69" s="16">
        <f t="shared" si="3"/>
        <v>0.6719999999999999</v>
      </c>
      <c r="K69" s="19" t="s">
        <v>18</v>
      </c>
      <c r="M69" s="18"/>
      <c r="U69" s="2"/>
    </row>
    <row r="70" spans="1:21" s="1" customFormat="1" ht="25.5">
      <c r="A70" s="11">
        <v>521</v>
      </c>
      <c r="B70" s="12" t="s">
        <v>89</v>
      </c>
      <c r="C70" s="12" t="s">
        <v>12</v>
      </c>
      <c r="D70" s="12" t="s">
        <v>52</v>
      </c>
      <c r="E70" s="12" t="s">
        <v>14</v>
      </c>
      <c r="F70" s="20">
        <v>13.05</v>
      </c>
      <c r="G70" s="14">
        <v>1</v>
      </c>
      <c r="H70" s="15">
        <f t="shared" si="2"/>
        <v>13.05</v>
      </c>
      <c r="I70" s="16">
        <v>1.008</v>
      </c>
      <c r="J70" s="16">
        <f t="shared" si="3"/>
        <v>1.008</v>
      </c>
      <c r="K70" s="19" t="s">
        <v>18</v>
      </c>
      <c r="M70" s="18"/>
      <c r="U70" s="2"/>
    </row>
    <row r="71" spans="1:21" s="1" customFormat="1" ht="12.75">
      <c r="A71" s="11">
        <v>522</v>
      </c>
      <c r="B71" s="12" t="s">
        <v>90</v>
      </c>
      <c r="C71" s="12" t="s">
        <v>12</v>
      </c>
      <c r="D71" s="12" t="s">
        <v>52</v>
      </c>
      <c r="E71" s="12" t="s">
        <v>14</v>
      </c>
      <c r="F71" s="13">
        <v>8.2</v>
      </c>
      <c r="G71" s="14">
        <v>1</v>
      </c>
      <c r="H71" s="15">
        <f t="shared" si="2"/>
        <v>8.2</v>
      </c>
      <c r="I71" s="16">
        <v>0.5880000000000001</v>
      </c>
      <c r="J71" s="16">
        <f t="shared" si="3"/>
        <v>0.5880000000000001</v>
      </c>
      <c r="K71" s="19" t="s">
        <v>18</v>
      </c>
      <c r="M71" s="18"/>
      <c r="U71" s="2"/>
    </row>
    <row r="72" spans="1:21" s="1" customFormat="1" ht="25.5">
      <c r="A72" s="11">
        <v>523</v>
      </c>
      <c r="B72" s="12" t="s">
        <v>91</v>
      </c>
      <c r="C72" s="12" t="s">
        <v>12</v>
      </c>
      <c r="D72" s="12" t="s">
        <v>52</v>
      </c>
      <c r="E72" s="12" t="s">
        <v>14</v>
      </c>
      <c r="F72" s="13">
        <v>11.6</v>
      </c>
      <c r="G72" s="14">
        <v>2</v>
      </c>
      <c r="H72" s="15">
        <f t="shared" si="2"/>
        <v>23.2</v>
      </c>
      <c r="I72" s="16">
        <v>1.064</v>
      </c>
      <c r="J72" s="16">
        <f t="shared" si="3"/>
        <v>2.128</v>
      </c>
      <c r="K72" s="19" t="s">
        <v>18</v>
      </c>
      <c r="M72" s="18"/>
      <c r="U72" s="2"/>
    </row>
    <row r="73" spans="1:21" s="1" customFormat="1" ht="12.75">
      <c r="A73" s="11">
        <v>524</v>
      </c>
      <c r="B73" s="12" t="s">
        <v>92</v>
      </c>
      <c r="C73" s="12" t="s">
        <v>12</v>
      </c>
      <c r="D73" s="12" t="s">
        <v>52</v>
      </c>
      <c r="E73" s="12" t="s">
        <v>14</v>
      </c>
      <c r="F73" s="20">
        <v>8.5</v>
      </c>
      <c r="G73" s="14">
        <v>3</v>
      </c>
      <c r="H73" s="15">
        <f t="shared" si="2"/>
        <v>25.5</v>
      </c>
      <c r="I73" s="16">
        <v>0.6719999999999999</v>
      </c>
      <c r="J73" s="16">
        <f t="shared" si="3"/>
        <v>2.016</v>
      </c>
      <c r="K73" s="19" t="s">
        <v>18</v>
      </c>
      <c r="M73" s="18"/>
      <c r="U73" s="2"/>
    </row>
    <row r="74" spans="1:21" s="1" customFormat="1" ht="12.75">
      <c r="A74" s="11">
        <v>525</v>
      </c>
      <c r="B74" s="12" t="s">
        <v>93</v>
      </c>
      <c r="C74" s="12" t="s">
        <v>12</v>
      </c>
      <c r="D74" s="12" t="s">
        <v>52</v>
      </c>
      <c r="E74" s="12" t="s">
        <v>14</v>
      </c>
      <c r="F74" s="20">
        <v>6.6</v>
      </c>
      <c r="G74" s="14">
        <v>2</v>
      </c>
      <c r="H74" s="15">
        <f t="shared" si="2"/>
        <v>13.2</v>
      </c>
      <c r="I74" s="16">
        <v>0.532</v>
      </c>
      <c r="J74" s="16">
        <f t="shared" si="3"/>
        <v>1.064</v>
      </c>
      <c r="K74" s="19" t="s">
        <v>18</v>
      </c>
      <c r="M74" s="18"/>
      <c r="U74" s="2"/>
    </row>
    <row r="75" spans="1:21" s="1" customFormat="1" ht="12.75">
      <c r="A75" s="11">
        <v>526</v>
      </c>
      <c r="B75" s="12" t="s">
        <v>94</v>
      </c>
      <c r="C75" s="12" t="s">
        <v>12</v>
      </c>
      <c r="D75" s="12" t="s">
        <v>52</v>
      </c>
      <c r="E75" s="12" t="s">
        <v>14</v>
      </c>
      <c r="F75" s="13">
        <v>14.1</v>
      </c>
      <c r="G75" s="14">
        <v>1</v>
      </c>
      <c r="H75" s="15">
        <f t="shared" si="2"/>
        <v>14.1</v>
      </c>
      <c r="I75" s="16">
        <v>1.1480000000000001</v>
      </c>
      <c r="J75" s="16">
        <f t="shared" si="3"/>
        <v>1.1480000000000001</v>
      </c>
      <c r="K75" s="19" t="s">
        <v>18</v>
      </c>
      <c r="M75" s="18"/>
      <c r="U75" s="2"/>
    </row>
    <row r="76" spans="1:21" s="1" customFormat="1" ht="12.75">
      <c r="A76" s="11">
        <v>527</v>
      </c>
      <c r="B76" s="12" t="s">
        <v>95</v>
      </c>
      <c r="C76" s="12" t="s">
        <v>12</v>
      </c>
      <c r="D76" s="12" t="s">
        <v>52</v>
      </c>
      <c r="E76" s="12" t="s">
        <v>14</v>
      </c>
      <c r="F76" s="20">
        <v>7.4</v>
      </c>
      <c r="G76" s="14">
        <v>2</v>
      </c>
      <c r="H76" s="15">
        <f t="shared" si="2"/>
        <v>14.8</v>
      </c>
      <c r="I76" s="16">
        <v>0.5880000000000001</v>
      </c>
      <c r="J76" s="16">
        <f t="shared" si="3"/>
        <v>1.1760000000000002</v>
      </c>
      <c r="K76" s="19" t="s">
        <v>18</v>
      </c>
      <c r="M76" s="18"/>
      <c r="U76" s="2"/>
    </row>
    <row r="77" spans="1:21" s="1" customFormat="1" ht="12.75">
      <c r="A77" s="11">
        <v>528</v>
      </c>
      <c r="B77" s="12" t="s">
        <v>96</v>
      </c>
      <c r="C77" s="12" t="s">
        <v>12</v>
      </c>
      <c r="D77" s="12" t="s">
        <v>52</v>
      </c>
      <c r="E77" s="12" t="s">
        <v>14</v>
      </c>
      <c r="F77" s="13">
        <v>7.9</v>
      </c>
      <c r="G77" s="14">
        <v>2</v>
      </c>
      <c r="H77" s="15">
        <f t="shared" si="2"/>
        <v>15.8</v>
      </c>
      <c r="I77" s="16">
        <v>0.63</v>
      </c>
      <c r="J77" s="16">
        <f t="shared" si="3"/>
        <v>1.26</v>
      </c>
      <c r="K77" s="19" t="s">
        <v>18</v>
      </c>
      <c r="M77" s="18"/>
      <c r="U77" s="2"/>
    </row>
    <row r="78" spans="1:21" s="1" customFormat="1" ht="12.75">
      <c r="A78" s="11">
        <v>539</v>
      </c>
      <c r="B78" s="12" t="s">
        <v>97</v>
      </c>
      <c r="C78" s="12" t="s">
        <v>74</v>
      </c>
      <c r="D78" s="12" t="s">
        <v>14</v>
      </c>
      <c r="E78" s="12" t="s">
        <v>98</v>
      </c>
      <c r="F78" s="20">
        <v>23</v>
      </c>
      <c r="G78" s="14">
        <v>5</v>
      </c>
      <c r="H78" s="15">
        <f t="shared" si="2"/>
        <v>115</v>
      </c>
      <c r="I78" s="16">
        <v>1.988</v>
      </c>
      <c r="J78" s="16">
        <f t="shared" si="3"/>
        <v>9.94</v>
      </c>
      <c r="K78" s="19" t="s">
        <v>18</v>
      </c>
      <c r="M78" s="18"/>
      <c r="U78" s="2"/>
    </row>
    <row r="79" spans="1:21" s="1" customFormat="1" ht="12.75">
      <c r="A79" s="11">
        <v>540</v>
      </c>
      <c r="B79" s="12" t="s">
        <v>99</v>
      </c>
      <c r="C79" s="12" t="s">
        <v>74</v>
      </c>
      <c r="D79" s="12" t="s">
        <v>14</v>
      </c>
      <c r="E79" s="12" t="s">
        <v>98</v>
      </c>
      <c r="F79" s="20">
        <v>63</v>
      </c>
      <c r="G79" s="14">
        <v>2</v>
      </c>
      <c r="H79" s="15">
        <f t="shared" si="2"/>
        <v>126</v>
      </c>
      <c r="I79" s="16">
        <v>4.62</v>
      </c>
      <c r="J79" s="16">
        <f t="shared" si="3"/>
        <v>9.24</v>
      </c>
      <c r="K79" s="19" t="s">
        <v>18</v>
      </c>
      <c r="M79" s="18"/>
      <c r="U79" s="2"/>
    </row>
    <row r="80" spans="1:21" s="1" customFormat="1" ht="12.75">
      <c r="A80" s="11">
        <v>551</v>
      </c>
      <c r="B80" s="12" t="s">
        <v>100</v>
      </c>
      <c r="C80" s="12" t="s">
        <v>12</v>
      </c>
      <c r="D80" s="12" t="s">
        <v>13</v>
      </c>
      <c r="E80" s="12" t="s">
        <v>14</v>
      </c>
      <c r="F80" s="13">
        <v>16.8</v>
      </c>
      <c r="G80" s="14">
        <f>1</f>
        <v>1</v>
      </c>
      <c r="H80" s="15">
        <f t="shared" si="2"/>
        <v>16.8</v>
      </c>
      <c r="I80" s="16">
        <v>1.428</v>
      </c>
      <c r="J80" s="16">
        <f t="shared" si="3"/>
        <v>1.428</v>
      </c>
      <c r="K80" s="19" t="s">
        <v>18</v>
      </c>
      <c r="M80" s="18"/>
      <c r="U80" s="2"/>
    </row>
    <row r="81" spans="1:21" s="1" customFormat="1" ht="12.75">
      <c r="A81" s="11">
        <v>552</v>
      </c>
      <c r="B81" s="12" t="s">
        <v>101</v>
      </c>
      <c r="C81" s="12" t="s">
        <v>12</v>
      </c>
      <c r="D81" s="12" t="s">
        <v>13</v>
      </c>
      <c r="E81" s="12" t="s">
        <v>14</v>
      </c>
      <c r="F81" s="13">
        <v>16.9</v>
      </c>
      <c r="G81" s="14">
        <v>1</v>
      </c>
      <c r="H81" s="15">
        <f t="shared" si="2"/>
        <v>16.9</v>
      </c>
      <c r="I81" s="16">
        <v>1.428</v>
      </c>
      <c r="J81" s="16">
        <f t="shared" si="3"/>
        <v>1.428</v>
      </c>
      <c r="K81" s="19" t="s">
        <v>18</v>
      </c>
      <c r="M81" s="18"/>
      <c r="U81" s="2"/>
    </row>
    <row r="82" spans="1:21" s="1" customFormat="1" ht="12.75">
      <c r="A82" s="11">
        <v>648</v>
      </c>
      <c r="B82" s="12" t="s">
        <v>102</v>
      </c>
      <c r="C82" s="12" t="s">
        <v>12</v>
      </c>
      <c r="D82" s="12" t="s">
        <v>103</v>
      </c>
      <c r="E82" s="12" t="s">
        <v>14</v>
      </c>
      <c r="F82" s="20">
        <v>85</v>
      </c>
      <c r="G82" s="14">
        <f>1+1</f>
        <v>2</v>
      </c>
      <c r="H82" s="15">
        <f t="shared" si="2"/>
        <v>170</v>
      </c>
      <c r="I82" s="16">
        <v>6.44</v>
      </c>
      <c r="J82" s="16">
        <f t="shared" si="3"/>
        <v>12.88</v>
      </c>
      <c r="K82" s="19" t="s">
        <v>18</v>
      </c>
      <c r="M82" s="18"/>
      <c r="U82" s="2"/>
    </row>
    <row r="83" spans="1:21" s="1" customFormat="1" ht="12.75">
      <c r="A83" s="11">
        <v>649</v>
      </c>
      <c r="B83" s="12" t="s">
        <v>224</v>
      </c>
      <c r="C83" s="12" t="s">
        <v>12</v>
      </c>
      <c r="D83" s="12" t="s">
        <v>103</v>
      </c>
      <c r="E83" s="12" t="s">
        <v>14</v>
      </c>
      <c r="F83" s="20">
        <v>21.3</v>
      </c>
      <c r="G83" s="14">
        <f>2</f>
        <v>2</v>
      </c>
      <c r="H83" s="15">
        <f t="shared" si="2"/>
        <v>42.6</v>
      </c>
      <c r="I83" s="16">
        <v>1.7079999999999997</v>
      </c>
      <c r="J83" s="16">
        <f t="shared" si="3"/>
        <v>3.4159999999999995</v>
      </c>
      <c r="K83" s="19" t="s">
        <v>18</v>
      </c>
      <c r="M83" s="18"/>
      <c r="U83" s="2"/>
    </row>
    <row r="84" spans="1:21" s="1" customFormat="1" ht="12.75">
      <c r="A84" s="11">
        <v>650</v>
      </c>
      <c r="B84" s="12" t="s">
        <v>225</v>
      </c>
      <c r="C84" s="12" t="s">
        <v>12</v>
      </c>
      <c r="D84" s="12" t="s">
        <v>103</v>
      </c>
      <c r="E84" s="12" t="s">
        <v>14</v>
      </c>
      <c r="F84" s="13">
        <v>34.7</v>
      </c>
      <c r="G84" s="14">
        <f>1</f>
        <v>1</v>
      </c>
      <c r="H84" s="15">
        <f t="shared" si="2"/>
        <v>34.7</v>
      </c>
      <c r="I84" s="16">
        <v>3.22</v>
      </c>
      <c r="J84" s="16">
        <f t="shared" si="3"/>
        <v>3.22</v>
      </c>
      <c r="K84" s="19" t="s">
        <v>18</v>
      </c>
      <c r="M84" s="18"/>
      <c r="U84" s="2"/>
    </row>
    <row r="85" spans="1:21" s="1" customFormat="1" ht="12.75">
      <c r="A85" s="11">
        <v>655</v>
      </c>
      <c r="B85" s="12" t="s">
        <v>226</v>
      </c>
      <c r="C85" s="12" t="s">
        <v>74</v>
      </c>
      <c r="D85" s="12" t="s">
        <v>14</v>
      </c>
      <c r="E85" s="12" t="s">
        <v>98</v>
      </c>
      <c r="F85" s="20">
        <v>25</v>
      </c>
      <c r="G85" s="14">
        <v>1</v>
      </c>
      <c r="H85" s="15">
        <f t="shared" si="2"/>
        <v>25</v>
      </c>
      <c r="I85" s="16">
        <v>2.212</v>
      </c>
      <c r="J85" s="16">
        <f t="shared" si="3"/>
        <v>2.212</v>
      </c>
      <c r="K85" s="19" t="s">
        <v>18</v>
      </c>
      <c r="M85" s="18"/>
      <c r="U85" s="2"/>
    </row>
    <row r="86" spans="1:21" s="1" customFormat="1" ht="12.75">
      <c r="A86" s="11">
        <v>656</v>
      </c>
      <c r="B86" s="12" t="s">
        <v>227</v>
      </c>
      <c r="C86" s="12" t="s">
        <v>74</v>
      </c>
      <c r="D86" s="12" t="s">
        <v>14</v>
      </c>
      <c r="E86" s="12" t="s">
        <v>98</v>
      </c>
      <c r="F86" s="20">
        <v>52</v>
      </c>
      <c r="G86" s="14">
        <v>5</v>
      </c>
      <c r="H86" s="15">
        <f t="shared" si="2"/>
        <v>260</v>
      </c>
      <c r="I86" s="16">
        <v>3.5</v>
      </c>
      <c r="J86" s="16">
        <f t="shared" si="3"/>
        <v>17.5</v>
      </c>
      <c r="K86" s="19" t="s">
        <v>18</v>
      </c>
      <c r="M86" s="18"/>
      <c r="U86" s="2"/>
    </row>
    <row r="87" spans="1:21" s="1" customFormat="1" ht="12.75">
      <c r="A87" s="11">
        <v>657</v>
      </c>
      <c r="B87" s="12" t="s">
        <v>228</v>
      </c>
      <c r="C87" s="12" t="s">
        <v>74</v>
      </c>
      <c r="D87" s="12" t="s">
        <v>14</v>
      </c>
      <c r="E87" s="12" t="s">
        <v>98</v>
      </c>
      <c r="F87" s="20">
        <v>114</v>
      </c>
      <c r="G87" s="14">
        <v>3</v>
      </c>
      <c r="H87" s="15">
        <f t="shared" si="2"/>
        <v>342</v>
      </c>
      <c r="I87" s="16">
        <v>8.96</v>
      </c>
      <c r="J87" s="16">
        <f t="shared" si="3"/>
        <v>26.880000000000003</v>
      </c>
      <c r="K87" s="19" t="s">
        <v>18</v>
      </c>
      <c r="M87" s="18"/>
      <c r="U87" s="2"/>
    </row>
    <row r="88" spans="1:21" s="1" customFormat="1" ht="12.75">
      <c r="A88" s="11">
        <v>659</v>
      </c>
      <c r="B88" s="12" t="s">
        <v>229</v>
      </c>
      <c r="C88" s="12" t="s">
        <v>74</v>
      </c>
      <c r="D88" s="12" t="s">
        <v>14</v>
      </c>
      <c r="E88" s="12" t="s">
        <v>98</v>
      </c>
      <c r="F88" s="20">
        <v>35</v>
      </c>
      <c r="G88" s="14">
        <v>1</v>
      </c>
      <c r="H88" s="15">
        <f t="shared" si="2"/>
        <v>35</v>
      </c>
      <c r="I88" s="16">
        <v>3.22</v>
      </c>
      <c r="J88" s="16">
        <f t="shared" si="3"/>
        <v>3.22</v>
      </c>
      <c r="K88" s="19" t="s">
        <v>18</v>
      </c>
      <c r="M88" s="18"/>
      <c r="U88" s="2"/>
    </row>
    <row r="89" spans="1:21" s="1" customFormat="1" ht="25.5">
      <c r="A89" s="11">
        <v>660</v>
      </c>
      <c r="B89" s="12" t="s">
        <v>230</v>
      </c>
      <c r="C89" s="12" t="s">
        <v>74</v>
      </c>
      <c r="D89" s="12" t="s">
        <v>14</v>
      </c>
      <c r="E89" s="12" t="s">
        <v>98</v>
      </c>
      <c r="F89" s="20">
        <v>80</v>
      </c>
      <c r="G89" s="14">
        <v>1</v>
      </c>
      <c r="H89" s="15">
        <f t="shared" si="2"/>
        <v>80</v>
      </c>
      <c r="I89" s="16">
        <v>6.16</v>
      </c>
      <c r="J89" s="16">
        <f t="shared" si="3"/>
        <v>6.16</v>
      </c>
      <c r="K89" s="19" t="s">
        <v>18</v>
      </c>
      <c r="M89" s="18"/>
      <c r="U89" s="2"/>
    </row>
    <row r="90" spans="1:21" s="1" customFormat="1" ht="12.75">
      <c r="A90" s="11">
        <v>666</v>
      </c>
      <c r="B90" s="12" t="s">
        <v>231</v>
      </c>
      <c r="C90" s="12" t="s">
        <v>12</v>
      </c>
      <c r="D90" s="12" t="s">
        <v>47</v>
      </c>
      <c r="E90" s="12" t="s">
        <v>14</v>
      </c>
      <c r="F90" s="20">
        <v>92</v>
      </c>
      <c r="G90" s="14">
        <f>1</f>
        <v>1</v>
      </c>
      <c r="H90" s="15">
        <f t="shared" si="2"/>
        <v>92</v>
      </c>
      <c r="I90" s="16">
        <v>6.72</v>
      </c>
      <c r="J90" s="16">
        <f t="shared" si="3"/>
        <v>6.72</v>
      </c>
      <c r="K90" s="19" t="s">
        <v>18</v>
      </c>
      <c r="M90" s="18"/>
      <c r="U90" s="2"/>
    </row>
    <row r="91" spans="1:21" s="1" customFormat="1" ht="25.5">
      <c r="A91" s="11">
        <v>675</v>
      </c>
      <c r="B91" s="12" t="s">
        <v>232</v>
      </c>
      <c r="C91" s="12" t="s">
        <v>233</v>
      </c>
      <c r="D91" s="12" t="s">
        <v>234</v>
      </c>
      <c r="E91" s="12" t="s">
        <v>235</v>
      </c>
      <c r="F91" s="20">
        <v>0.48</v>
      </c>
      <c r="G91" s="14">
        <v>146</v>
      </c>
      <c r="H91" s="15">
        <f t="shared" si="2"/>
        <v>70.08</v>
      </c>
      <c r="I91" s="16">
        <v>0.028000000000000004</v>
      </c>
      <c r="J91" s="16">
        <f t="shared" si="3"/>
        <v>4.088000000000001</v>
      </c>
      <c r="K91" s="19" t="s">
        <v>18</v>
      </c>
      <c r="M91" s="18"/>
      <c r="U91" s="2"/>
    </row>
    <row r="92" spans="1:21" s="1" customFormat="1" ht="25.5">
      <c r="A92" s="11">
        <v>676</v>
      </c>
      <c r="B92" s="12" t="s">
        <v>236</v>
      </c>
      <c r="C92" s="12" t="s">
        <v>233</v>
      </c>
      <c r="D92" s="12" t="s">
        <v>234</v>
      </c>
      <c r="E92" s="12" t="s">
        <v>235</v>
      </c>
      <c r="F92" s="20">
        <v>0.48</v>
      </c>
      <c r="G92" s="14">
        <v>29</v>
      </c>
      <c r="H92" s="15">
        <f t="shared" si="2"/>
        <v>13.92</v>
      </c>
      <c r="I92" s="16">
        <v>0.028000000000000004</v>
      </c>
      <c r="J92" s="16">
        <f t="shared" si="3"/>
        <v>0.8120000000000002</v>
      </c>
      <c r="K92" s="19" t="s">
        <v>18</v>
      </c>
      <c r="M92" s="18"/>
      <c r="U92" s="2"/>
    </row>
    <row r="93" spans="1:21" s="1" customFormat="1" ht="25.5">
      <c r="A93" s="11">
        <v>680</v>
      </c>
      <c r="B93" s="12" t="s">
        <v>237</v>
      </c>
      <c r="C93" s="12" t="s">
        <v>233</v>
      </c>
      <c r="D93" s="12" t="s">
        <v>238</v>
      </c>
      <c r="E93" s="12" t="s">
        <v>239</v>
      </c>
      <c r="F93" s="20">
        <v>0.03</v>
      </c>
      <c r="G93" s="14">
        <f>180</f>
        <v>180</v>
      </c>
      <c r="H93" s="15">
        <f t="shared" si="2"/>
        <v>5.3999999999999995</v>
      </c>
      <c r="I93" s="16">
        <v>0.004</v>
      </c>
      <c r="J93" s="16">
        <f t="shared" si="3"/>
        <v>0.72</v>
      </c>
      <c r="K93" s="19" t="s">
        <v>18</v>
      </c>
      <c r="M93" s="18"/>
      <c r="U93" s="2"/>
    </row>
    <row r="94" spans="1:21" s="1" customFormat="1" ht="12.75">
      <c r="A94" s="11">
        <v>684</v>
      </c>
      <c r="B94" s="12" t="s">
        <v>240</v>
      </c>
      <c r="C94" s="12" t="s">
        <v>233</v>
      </c>
      <c r="D94" s="12" t="s">
        <v>238</v>
      </c>
      <c r="E94" s="12" t="s">
        <v>239</v>
      </c>
      <c r="F94" s="20">
        <v>0.028</v>
      </c>
      <c r="G94" s="14">
        <f>9</f>
        <v>9</v>
      </c>
      <c r="H94" s="15">
        <f t="shared" si="2"/>
        <v>0.252</v>
      </c>
      <c r="I94" s="16">
        <v>0.004</v>
      </c>
      <c r="J94" s="16">
        <f t="shared" si="3"/>
        <v>0.036000000000000004</v>
      </c>
      <c r="K94" s="19" t="s">
        <v>18</v>
      </c>
      <c r="M94" s="18"/>
      <c r="U94" s="2"/>
    </row>
    <row r="95" spans="1:21" s="1" customFormat="1" ht="25.5">
      <c r="A95" s="11">
        <v>687</v>
      </c>
      <c r="B95" s="14" t="s">
        <v>241</v>
      </c>
      <c r="C95" s="12" t="s">
        <v>233</v>
      </c>
      <c r="D95" s="12" t="s">
        <v>238</v>
      </c>
      <c r="E95" s="12" t="s">
        <v>239</v>
      </c>
      <c r="F95" s="20">
        <v>0.01</v>
      </c>
      <c r="G95" s="14">
        <f>4</f>
        <v>4</v>
      </c>
      <c r="H95" s="15">
        <f t="shared" si="2"/>
        <v>0.04</v>
      </c>
      <c r="I95" s="16">
        <v>0.004</v>
      </c>
      <c r="J95" s="16">
        <f t="shared" si="3"/>
        <v>0.016</v>
      </c>
      <c r="K95" s="19" t="s">
        <v>18</v>
      </c>
      <c r="M95" s="18"/>
      <c r="U95" s="2"/>
    </row>
    <row r="96" spans="1:21" s="1" customFormat="1" ht="25.5">
      <c r="A96" s="11">
        <v>688</v>
      </c>
      <c r="B96" s="12" t="s">
        <v>242</v>
      </c>
      <c r="C96" s="12" t="s">
        <v>233</v>
      </c>
      <c r="D96" s="12" t="s">
        <v>238</v>
      </c>
      <c r="E96" s="12" t="s">
        <v>239</v>
      </c>
      <c r="F96" s="20">
        <v>0.03</v>
      </c>
      <c r="G96" s="14">
        <f>138</f>
        <v>138</v>
      </c>
      <c r="H96" s="15">
        <f t="shared" si="2"/>
        <v>4.14</v>
      </c>
      <c r="I96" s="16">
        <v>0.004</v>
      </c>
      <c r="J96" s="16">
        <f t="shared" si="3"/>
        <v>0.552</v>
      </c>
      <c r="K96" s="19" t="s">
        <v>18</v>
      </c>
      <c r="M96" s="18"/>
      <c r="U96" s="2"/>
    </row>
    <row r="97" spans="1:21" s="1" customFormat="1" ht="25.5">
      <c r="A97" s="11">
        <v>689</v>
      </c>
      <c r="B97" s="12" t="s">
        <v>243</v>
      </c>
      <c r="C97" s="12" t="s">
        <v>233</v>
      </c>
      <c r="D97" s="12" t="s">
        <v>238</v>
      </c>
      <c r="E97" s="12" t="s">
        <v>239</v>
      </c>
      <c r="F97" s="20">
        <v>0.01</v>
      </c>
      <c r="G97" s="14">
        <f>284</f>
        <v>284</v>
      </c>
      <c r="H97" s="15">
        <f t="shared" si="2"/>
        <v>2.84</v>
      </c>
      <c r="I97" s="16">
        <v>0.004</v>
      </c>
      <c r="J97" s="16">
        <f t="shared" si="3"/>
        <v>1.1360000000000001</v>
      </c>
      <c r="K97" s="19" t="s">
        <v>18</v>
      </c>
      <c r="M97" s="18"/>
      <c r="U97" s="2"/>
    </row>
    <row r="98" spans="1:21" s="1" customFormat="1" ht="12.75">
      <c r="A98" s="11">
        <v>704</v>
      </c>
      <c r="B98" s="12" t="s">
        <v>244</v>
      </c>
      <c r="C98" s="12" t="s">
        <v>233</v>
      </c>
      <c r="D98" s="12" t="s">
        <v>238</v>
      </c>
      <c r="E98" s="12" t="s">
        <v>239</v>
      </c>
      <c r="F98" s="20">
        <v>0.028</v>
      </c>
      <c r="G98" s="14">
        <f>217</f>
        <v>217</v>
      </c>
      <c r="H98" s="15">
        <f t="shared" si="2"/>
        <v>6.0760000000000005</v>
      </c>
      <c r="I98" s="16">
        <v>0.004</v>
      </c>
      <c r="J98" s="16">
        <f t="shared" si="3"/>
        <v>0.868</v>
      </c>
      <c r="K98" s="19" t="s">
        <v>18</v>
      </c>
      <c r="M98" s="18"/>
      <c r="U98" s="2"/>
    </row>
    <row r="99" spans="1:21" s="1" customFormat="1" ht="12.75">
      <c r="A99" s="11">
        <v>706</v>
      </c>
      <c r="B99" s="12" t="s">
        <v>245</v>
      </c>
      <c r="C99" s="12" t="s">
        <v>233</v>
      </c>
      <c r="D99" s="12" t="s">
        <v>238</v>
      </c>
      <c r="E99" s="12" t="s">
        <v>239</v>
      </c>
      <c r="F99" s="20">
        <v>0.01</v>
      </c>
      <c r="G99" s="14">
        <f>14+58</f>
        <v>72</v>
      </c>
      <c r="H99" s="15">
        <f t="shared" si="2"/>
        <v>0.72</v>
      </c>
      <c r="I99" s="16">
        <v>0.004</v>
      </c>
      <c r="J99" s="16">
        <f t="shared" si="3"/>
        <v>0.28800000000000003</v>
      </c>
      <c r="K99" s="19" t="s">
        <v>18</v>
      </c>
      <c r="M99" s="18"/>
      <c r="U99" s="2"/>
    </row>
    <row r="100" spans="1:21" s="1" customFormat="1" ht="12.75">
      <c r="A100" s="11">
        <v>707</v>
      </c>
      <c r="B100" s="12" t="s">
        <v>246</v>
      </c>
      <c r="C100" s="12" t="s">
        <v>233</v>
      </c>
      <c r="D100" s="12" t="s">
        <v>238</v>
      </c>
      <c r="E100" s="12" t="s">
        <v>239</v>
      </c>
      <c r="F100" s="20">
        <v>0.03</v>
      </c>
      <c r="G100" s="14">
        <f>71</f>
        <v>71</v>
      </c>
      <c r="H100" s="15">
        <f t="shared" si="2"/>
        <v>2.13</v>
      </c>
      <c r="I100" s="16">
        <v>0.004</v>
      </c>
      <c r="J100" s="16">
        <f t="shared" si="3"/>
        <v>0.28400000000000003</v>
      </c>
      <c r="K100" s="19" t="s">
        <v>18</v>
      </c>
      <c r="M100" s="18"/>
      <c r="U100" s="2"/>
    </row>
    <row r="101" spans="1:21" s="1" customFormat="1" ht="12.75">
      <c r="A101" s="11">
        <v>708</v>
      </c>
      <c r="B101" s="12" t="s">
        <v>247</v>
      </c>
      <c r="C101" s="12" t="s">
        <v>233</v>
      </c>
      <c r="D101" s="12" t="s">
        <v>238</v>
      </c>
      <c r="E101" s="12" t="s">
        <v>239</v>
      </c>
      <c r="F101" s="20">
        <v>0.03</v>
      </c>
      <c r="G101" s="14">
        <f>162</f>
        <v>162</v>
      </c>
      <c r="H101" s="15">
        <f t="shared" si="2"/>
        <v>4.859999999999999</v>
      </c>
      <c r="I101" s="16">
        <v>0.004</v>
      </c>
      <c r="J101" s="16">
        <f t="shared" si="3"/>
        <v>0.648</v>
      </c>
      <c r="K101" s="19" t="s">
        <v>18</v>
      </c>
      <c r="M101" s="18"/>
      <c r="U101" s="2"/>
    </row>
    <row r="102" spans="1:21" s="1" customFormat="1" ht="12.75">
      <c r="A102" s="11">
        <v>710</v>
      </c>
      <c r="B102" s="12" t="s">
        <v>248</v>
      </c>
      <c r="C102" s="12" t="s">
        <v>233</v>
      </c>
      <c r="D102" s="12" t="s">
        <v>238</v>
      </c>
      <c r="E102" s="12" t="s">
        <v>239</v>
      </c>
      <c r="F102" s="20">
        <v>0.01</v>
      </c>
      <c r="G102" s="14">
        <f>67</f>
        <v>67</v>
      </c>
      <c r="H102" s="15">
        <f t="shared" si="2"/>
        <v>0.67</v>
      </c>
      <c r="I102" s="16">
        <v>0.004</v>
      </c>
      <c r="J102" s="16">
        <f t="shared" si="3"/>
        <v>0.268</v>
      </c>
      <c r="K102" s="19" t="s">
        <v>18</v>
      </c>
      <c r="M102" s="18"/>
      <c r="U102" s="2"/>
    </row>
    <row r="103" spans="1:21" s="1" customFormat="1" ht="12.75">
      <c r="A103" s="11">
        <v>711</v>
      </c>
      <c r="B103" s="12" t="s">
        <v>249</v>
      </c>
      <c r="C103" s="12" t="s">
        <v>233</v>
      </c>
      <c r="D103" s="12" t="s">
        <v>238</v>
      </c>
      <c r="E103" s="12" t="s">
        <v>239</v>
      </c>
      <c r="F103" s="20">
        <v>0.03</v>
      </c>
      <c r="G103" s="14">
        <f>48</f>
        <v>48</v>
      </c>
      <c r="H103" s="15">
        <f t="shared" si="2"/>
        <v>1.44</v>
      </c>
      <c r="I103" s="16">
        <v>0.004</v>
      </c>
      <c r="J103" s="16">
        <f t="shared" si="3"/>
        <v>0.192</v>
      </c>
      <c r="K103" s="19" t="s">
        <v>18</v>
      </c>
      <c r="M103" s="18"/>
      <c r="U103" s="2"/>
    </row>
    <row r="104" spans="1:21" s="1" customFormat="1" ht="15">
      <c r="A104" s="11">
        <v>712</v>
      </c>
      <c r="B104" s="12" t="s">
        <v>250</v>
      </c>
      <c r="C104" s="12" t="s">
        <v>233</v>
      </c>
      <c r="D104" s="12" t="s">
        <v>238</v>
      </c>
      <c r="E104" s="12" t="s">
        <v>239</v>
      </c>
      <c r="F104" s="20">
        <v>0.028</v>
      </c>
      <c r="G104" s="14">
        <f>126+38</f>
        <v>164</v>
      </c>
      <c r="H104" s="15">
        <f t="shared" si="2"/>
        <v>4.5920000000000005</v>
      </c>
      <c r="I104" s="16">
        <v>0.004</v>
      </c>
      <c r="J104" s="16">
        <f t="shared" si="3"/>
        <v>0.656</v>
      </c>
      <c r="K104" s="19" t="s">
        <v>18</v>
      </c>
      <c r="L104" s="3"/>
      <c r="M104" s="21"/>
      <c r="U104" s="2"/>
    </row>
    <row r="105" spans="1:21" s="1" customFormat="1" ht="25.5">
      <c r="A105" s="11">
        <v>713</v>
      </c>
      <c r="B105" s="12" t="s">
        <v>251</v>
      </c>
      <c r="C105" s="12" t="s">
        <v>233</v>
      </c>
      <c r="D105" s="12" t="s">
        <v>238</v>
      </c>
      <c r="E105" s="12" t="s">
        <v>239</v>
      </c>
      <c r="F105" s="20">
        <v>0.028</v>
      </c>
      <c r="G105" s="14">
        <f>63</f>
        <v>63</v>
      </c>
      <c r="H105" s="15">
        <f t="shared" si="2"/>
        <v>1.764</v>
      </c>
      <c r="I105" s="16">
        <v>0.004</v>
      </c>
      <c r="J105" s="16">
        <f t="shared" si="3"/>
        <v>0.252</v>
      </c>
      <c r="K105" s="19" t="s">
        <v>18</v>
      </c>
      <c r="U105" s="2"/>
    </row>
    <row r="106" spans="1:21" s="1" customFormat="1" ht="25.5">
      <c r="A106" s="11">
        <v>714</v>
      </c>
      <c r="B106" s="12" t="s">
        <v>252</v>
      </c>
      <c r="C106" s="12" t="s">
        <v>233</v>
      </c>
      <c r="D106" s="12" t="s">
        <v>238</v>
      </c>
      <c r="E106" s="12" t="s">
        <v>239</v>
      </c>
      <c r="F106" s="20">
        <v>0.03</v>
      </c>
      <c r="G106" s="14">
        <f>304+85</f>
        <v>389</v>
      </c>
      <c r="H106" s="15">
        <f t="shared" si="2"/>
        <v>11.67</v>
      </c>
      <c r="I106" s="16">
        <v>0.004</v>
      </c>
      <c r="J106" s="16">
        <f t="shared" si="3"/>
        <v>1.556</v>
      </c>
      <c r="K106" s="19" t="s">
        <v>18</v>
      </c>
      <c r="U106" s="2"/>
    </row>
    <row r="107" spans="1:21" s="1" customFormat="1" ht="25.5">
      <c r="A107" s="11">
        <v>718</v>
      </c>
      <c r="B107" s="12" t="s">
        <v>253</v>
      </c>
      <c r="C107" s="12" t="s">
        <v>233</v>
      </c>
      <c r="D107" s="12" t="s">
        <v>238</v>
      </c>
      <c r="E107" s="12" t="s">
        <v>239</v>
      </c>
      <c r="F107" s="20">
        <v>0.01</v>
      </c>
      <c r="G107" s="14">
        <f>526</f>
        <v>526</v>
      </c>
      <c r="H107" s="15">
        <f t="shared" si="2"/>
        <v>5.26</v>
      </c>
      <c r="I107" s="16">
        <v>0.004</v>
      </c>
      <c r="J107" s="16">
        <f t="shared" si="3"/>
        <v>2.104</v>
      </c>
      <c r="K107" s="19" t="s">
        <v>18</v>
      </c>
      <c r="U107" s="2"/>
    </row>
    <row r="108" spans="1:21" s="1" customFormat="1" ht="25.5">
      <c r="A108" s="11">
        <v>719</v>
      </c>
      <c r="B108" s="12" t="s">
        <v>254</v>
      </c>
      <c r="C108" s="12" t="s">
        <v>233</v>
      </c>
      <c r="D108" s="12" t="s">
        <v>238</v>
      </c>
      <c r="E108" s="12" t="s">
        <v>239</v>
      </c>
      <c r="F108" s="20">
        <v>0.01</v>
      </c>
      <c r="G108" s="14">
        <f>1090+50</f>
        <v>1140</v>
      </c>
      <c r="H108" s="15">
        <f t="shared" si="2"/>
        <v>11.4</v>
      </c>
      <c r="I108" s="16">
        <v>0.004</v>
      </c>
      <c r="J108" s="16">
        <f t="shared" si="3"/>
        <v>4.5600000000000005</v>
      </c>
      <c r="K108" s="19" t="s">
        <v>18</v>
      </c>
      <c r="U108" s="2"/>
    </row>
    <row r="109" spans="1:21" s="1" customFormat="1" ht="25.5">
      <c r="A109" s="11">
        <v>720</v>
      </c>
      <c r="B109" s="12" t="s">
        <v>255</v>
      </c>
      <c r="C109" s="12" t="s">
        <v>233</v>
      </c>
      <c r="D109" s="12" t="s">
        <v>238</v>
      </c>
      <c r="E109" s="12" t="s">
        <v>239</v>
      </c>
      <c r="F109" s="20">
        <v>0.028</v>
      </c>
      <c r="G109" s="14">
        <f>123+6</f>
        <v>129</v>
      </c>
      <c r="H109" s="15">
        <f t="shared" si="2"/>
        <v>3.612</v>
      </c>
      <c r="I109" s="16">
        <v>0.004</v>
      </c>
      <c r="J109" s="16">
        <f t="shared" si="3"/>
        <v>0.516</v>
      </c>
      <c r="K109" s="19" t="s">
        <v>18</v>
      </c>
      <c r="U109" s="2"/>
    </row>
    <row r="110" spans="1:21" s="1" customFormat="1" ht="25.5">
      <c r="A110" s="11">
        <v>721</v>
      </c>
      <c r="B110" s="12" t="s">
        <v>256</v>
      </c>
      <c r="C110" s="12" t="s">
        <v>233</v>
      </c>
      <c r="D110" s="12" t="s">
        <v>238</v>
      </c>
      <c r="E110" s="12" t="s">
        <v>239</v>
      </c>
      <c r="F110" s="20">
        <v>0.01</v>
      </c>
      <c r="G110" s="14">
        <f>785+42</f>
        <v>827</v>
      </c>
      <c r="H110" s="15">
        <f t="shared" si="2"/>
        <v>8.27</v>
      </c>
      <c r="I110" s="16">
        <v>0.004</v>
      </c>
      <c r="J110" s="16">
        <f t="shared" si="3"/>
        <v>3.3080000000000003</v>
      </c>
      <c r="K110" s="19" t="s">
        <v>18</v>
      </c>
      <c r="U110" s="2"/>
    </row>
    <row r="111" spans="1:21" s="1" customFormat="1" ht="25.5">
      <c r="A111" s="11">
        <v>722</v>
      </c>
      <c r="B111" s="12" t="s">
        <v>257</v>
      </c>
      <c r="C111" s="12" t="s">
        <v>233</v>
      </c>
      <c r="D111" s="12" t="s">
        <v>238</v>
      </c>
      <c r="E111" s="12" t="s">
        <v>239</v>
      </c>
      <c r="F111" s="20">
        <v>0.01</v>
      </c>
      <c r="G111" s="14">
        <v>908</v>
      </c>
      <c r="H111" s="15">
        <f t="shared" si="2"/>
        <v>9.08</v>
      </c>
      <c r="I111" s="16">
        <v>0.004</v>
      </c>
      <c r="J111" s="16">
        <f t="shared" si="3"/>
        <v>3.632</v>
      </c>
      <c r="K111" s="19" t="s">
        <v>18</v>
      </c>
      <c r="U111" s="2"/>
    </row>
    <row r="112" spans="1:21" s="1" customFormat="1" ht="25.5">
      <c r="A112" s="11">
        <v>723</v>
      </c>
      <c r="B112" s="12" t="s">
        <v>258</v>
      </c>
      <c r="C112" s="12" t="s">
        <v>233</v>
      </c>
      <c r="D112" s="12" t="s">
        <v>238</v>
      </c>
      <c r="E112" s="12" t="s">
        <v>239</v>
      </c>
      <c r="F112" s="20">
        <v>0.01</v>
      </c>
      <c r="G112" s="14">
        <f>250+300+128</f>
        <v>678</v>
      </c>
      <c r="H112" s="15">
        <f t="shared" si="2"/>
        <v>6.78</v>
      </c>
      <c r="I112" s="16">
        <v>0.004</v>
      </c>
      <c r="J112" s="16">
        <f t="shared" si="3"/>
        <v>2.712</v>
      </c>
      <c r="K112" s="19"/>
      <c r="U112" s="2"/>
    </row>
    <row r="113" spans="1:21" s="1" customFormat="1" ht="25.5">
      <c r="A113" s="11">
        <v>728</v>
      </c>
      <c r="B113" s="12" t="s">
        <v>259</v>
      </c>
      <c r="C113" s="12" t="s">
        <v>233</v>
      </c>
      <c r="D113" s="12" t="s">
        <v>238</v>
      </c>
      <c r="E113" s="12" t="s">
        <v>239</v>
      </c>
      <c r="F113" s="20">
        <v>0.01</v>
      </c>
      <c r="G113" s="14">
        <f>131+32</f>
        <v>163</v>
      </c>
      <c r="H113" s="15">
        <f t="shared" si="2"/>
        <v>1.6300000000000001</v>
      </c>
      <c r="I113" s="16">
        <v>0.004</v>
      </c>
      <c r="J113" s="16">
        <f t="shared" si="3"/>
        <v>0.652</v>
      </c>
      <c r="K113" s="19" t="s">
        <v>18</v>
      </c>
      <c r="U113" s="2"/>
    </row>
    <row r="114" spans="1:21" s="1" customFormat="1" ht="12.75">
      <c r="A114" s="11">
        <v>729</v>
      </c>
      <c r="B114" s="12" t="s">
        <v>260</v>
      </c>
      <c r="C114" s="12" t="s">
        <v>233</v>
      </c>
      <c r="D114" s="12" t="s">
        <v>238</v>
      </c>
      <c r="E114" s="12" t="s">
        <v>239</v>
      </c>
      <c r="F114" s="20">
        <v>0.01</v>
      </c>
      <c r="G114" s="14">
        <f>34+16</f>
        <v>50</v>
      </c>
      <c r="H114" s="15">
        <f t="shared" si="2"/>
        <v>0.5</v>
      </c>
      <c r="I114" s="16">
        <v>0.004</v>
      </c>
      <c r="J114" s="16">
        <f t="shared" si="3"/>
        <v>0.2</v>
      </c>
      <c r="K114" s="19" t="s">
        <v>18</v>
      </c>
      <c r="U114" s="2"/>
    </row>
    <row r="115" spans="1:21" s="1" customFormat="1" ht="12.75">
      <c r="A115" s="11">
        <v>732</v>
      </c>
      <c r="B115" s="12" t="s">
        <v>261</v>
      </c>
      <c r="C115" s="12" t="s">
        <v>233</v>
      </c>
      <c r="D115" s="12" t="s">
        <v>238</v>
      </c>
      <c r="E115" s="12" t="s">
        <v>239</v>
      </c>
      <c r="F115" s="20">
        <v>0.028</v>
      </c>
      <c r="G115" s="14">
        <f>67</f>
        <v>67</v>
      </c>
      <c r="H115" s="15">
        <f t="shared" si="2"/>
        <v>1.8760000000000001</v>
      </c>
      <c r="I115" s="16">
        <v>0.004</v>
      </c>
      <c r="J115" s="16">
        <f t="shared" si="3"/>
        <v>0.268</v>
      </c>
      <c r="K115" s="19" t="s">
        <v>18</v>
      </c>
      <c r="U115" s="2"/>
    </row>
    <row r="116" spans="1:21" s="1" customFormat="1" ht="25.5">
      <c r="A116" s="11">
        <v>734</v>
      </c>
      <c r="B116" s="12" t="s">
        <v>262</v>
      </c>
      <c r="C116" s="12" t="s">
        <v>233</v>
      </c>
      <c r="D116" s="12" t="s">
        <v>238</v>
      </c>
      <c r="E116" s="12" t="s">
        <v>239</v>
      </c>
      <c r="F116" s="20">
        <v>0.01</v>
      </c>
      <c r="G116" s="14">
        <f>53</f>
        <v>53</v>
      </c>
      <c r="H116" s="15">
        <f t="shared" si="2"/>
        <v>0.53</v>
      </c>
      <c r="I116" s="16">
        <v>0.004</v>
      </c>
      <c r="J116" s="16">
        <f t="shared" si="3"/>
        <v>0.212</v>
      </c>
      <c r="K116" s="19" t="s">
        <v>18</v>
      </c>
      <c r="U116" s="2"/>
    </row>
    <row r="117" spans="1:21" s="1" customFormat="1" ht="12.75">
      <c r="A117" s="11">
        <v>735</v>
      </c>
      <c r="B117" s="12" t="s">
        <v>263</v>
      </c>
      <c r="C117" s="12" t="s">
        <v>233</v>
      </c>
      <c r="D117" s="12" t="s">
        <v>238</v>
      </c>
      <c r="E117" s="12" t="s">
        <v>239</v>
      </c>
      <c r="F117" s="20">
        <v>0.01</v>
      </c>
      <c r="G117" s="14">
        <f>509+47</f>
        <v>556</v>
      </c>
      <c r="H117" s="15">
        <f t="shared" si="2"/>
        <v>5.5600000000000005</v>
      </c>
      <c r="I117" s="16">
        <v>0.004</v>
      </c>
      <c r="J117" s="16">
        <f t="shared" si="3"/>
        <v>2.224</v>
      </c>
      <c r="K117" s="19" t="s">
        <v>18</v>
      </c>
      <c r="L117" s="22"/>
      <c r="U117" s="2"/>
    </row>
    <row r="118" spans="1:21" s="1" customFormat="1" ht="25.5">
      <c r="A118" s="11">
        <v>736</v>
      </c>
      <c r="B118" s="12" t="s">
        <v>264</v>
      </c>
      <c r="C118" s="12" t="s">
        <v>233</v>
      </c>
      <c r="D118" s="12" t="s">
        <v>238</v>
      </c>
      <c r="E118" s="12" t="s">
        <v>239</v>
      </c>
      <c r="F118" s="20">
        <v>0.01</v>
      </c>
      <c r="G118" s="14">
        <f>42</f>
        <v>42</v>
      </c>
      <c r="H118" s="15">
        <f t="shared" si="2"/>
        <v>0.42</v>
      </c>
      <c r="I118" s="16">
        <v>0.004</v>
      </c>
      <c r="J118" s="16">
        <f t="shared" si="3"/>
        <v>0.168</v>
      </c>
      <c r="K118" s="19" t="s">
        <v>18</v>
      </c>
      <c r="U118" s="2"/>
    </row>
    <row r="119" spans="1:21" s="1" customFormat="1" ht="12.75">
      <c r="A119" s="11">
        <v>737</v>
      </c>
      <c r="B119" s="12" t="s">
        <v>265</v>
      </c>
      <c r="C119" s="12" t="s">
        <v>233</v>
      </c>
      <c r="D119" s="12" t="s">
        <v>238</v>
      </c>
      <c r="E119" s="12" t="s">
        <v>239</v>
      </c>
      <c r="F119" s="20">
        <v>0.028</v>
      </c>
      <c r="G119" s="14">
        <f>114</f>
        <v>114</v>
      </c>
      <c r="H119" s="15">
        <f t="shared" si="2"/>
        <v>3.192</v>
      </c>
      <c r="I119" s="16">
        <v>0.004</v>
      </c>
      <c r="J119" s="16">
        <f t="shared" si="3"/>
        <v>0.456</v>
      </c>
      <c r="K119" s="19" t="s">
        <v>18</v>
      </c>
      <c r="L119" s="22"/>
      <c r="U119" s="2"/>
    </row>
    <row r="120" spans="1:21" s="1" customFormat="1" ht="12.75">
      <c r="A120" s="11">
        <v>740</v>
      </c>
      <c r="B120" s="12" t="s">
        <v>266</v>
      </c>
      <c r="C120" s="12" t="s">
        <v>233</v>
      </c>
      <c r="D120" s="12" t="s">
        <v>238</v>
      </c>
      <c r="E120" s="12" t="s">
        <v>239</v>
      </c>
      <c r="F120" s="20">
        <v>0.01</v>
      </c>
      <c r="G120" s="14">
        <f>191</f>
        <v>191</v>
      </c>
      <c r="H120" s="15">
        <f t="shared" si="2"/>
        <v>1.9100000000000001</v>
      </c>
      <c r="I120" s="16">
        <v>0.004</v>
      </c>
      <c r="J120" s="16">
        <f t="shared" si="3"/>
        <v>0.764</v>
      </c>
      <c r="K120" s="19" t="s">
        <v>18</v>
      </c>
      <c r="U120" s="2"/>
    </row>
    <row r="121" spans="1:21" s="1" customFormat="1" ht="12.75">
      <c r="A121" s="11">
        <v>741</v>
      </c>
      <c r="B121" s="12" t="s">
        <v>267</v>
      </c>
      <c r="C121" s="12" t="s">
        <v>233</v>
      </c>
      <c r="D121" s="12" t="s">
        <v>238</v>
      </c>
      <c r="E121" s="12" t="s">
        <v>239</v>
      </c>
      <c r="F121" s="20">
        <v>0.01</v>
      </c>
      <c r="G121" s="14">
        <f>232</f>
        <v>232</v>
      </c>
      <c r="H121" s="15">
        <f t="shared" si="2"/>
        <v>2.32</v>
      </c>
      <c r="I121" s="16">
        <v>0.004</v>
      </c>
      <c r="J121" s="16">
        <f t="shared" si="3"/>
        <v>0.928</v>
      </c>
      <c r="K121" s="19" t="s">
        <v>18</v>
      </c>
      <c r="U121" s="2"/>
    </row>
    <row r="122" spans="1:21" s="1" customFormat="1" ht="12.75">
      <c r="A122" s="11">
        <v>742</v>
      </c>
      <c r="B122" s="12" t="s">
        <v>268</v>
      </c>
      <c r="C122" s="12" t="s">
        <v>233</v>
      </c>
      <c r="D122" s="12" t="s">
        <v>238</v>
      </c>
      <c r="E122" s="12" t="s">
        <v>239</v>
      </c>
      <c r="F122" s="20">
        <v>0.028</v>
      </c>
      <c r="G122" s="14">
        <f>122</f>
        <v>122</v>
      </c>
      <c r="H122" s="15">
        <f t="shared" si="2"/>
        <v>3.416</v>
      </c>
      <c r="I122" s="16">
        <v>0.004</v>
      </c>
      <c r="J122" s="16">
        <f t="shared" si="3"/>
        <v>0.488</v>
      </c>
      <c r="K122" s="19" t="s">
        <v>18</v>
      </c>
      <c r="U122" s="2"/>
    </row>
    <row r="123" spans="1:21" s="1" customFormat="1" ht="25.5">
      <c r="A123" s="11">
        <v>743</v>
      </c>
      <c r="B123" s="12" t="s">
        <v>269</v>
      </c>
      <c r="C123" s="12" t="s">
        <v>233</v>
      </c>
      <c r="D123" s="12" t="s">
        <v>238</v>
      </c>
      <c r="E123" s="12" t="s">
        <v>239</v>
      </c>
      <c r="F123" s="20">
        <v>0.028</v>
      </c>
      <c r="G123" s="14">
        <f>24</f>
        <v>24</v>
      </c>
      <c r="H123" s="15">
        <f t="shared" si="2"/>
        <v>0.672</v>
      </c>
      <c r="I123" s="16">
        <v>0.004</v>
      </c>
      <c r="J123" s="16">
        <f t="shared" si="3"/>
        <v>0.096</v>
      </c>
      <c r="K123" s="19" t="s">
        <v>18</v>
      </c>
      <c r="U123" s="2"/>
    </row>
    <row r="124" spans="1:21" s="1" customFormat="1" ht="25.5">
      <c r="A124" s="11">
        <v>744</v>
      </c>
      <c r="B124" s="12" t="s">
        <v>270</v>
      </c>
      <c r="C124" s="12" t="s">
        <v>233</v>
      </c>
      <c r="D124" s="12" t="s">
        <v>238</v>
      </c>
      <c r="E124" s="12" t="s">
        <v>239</v>
      </c>
      <c r="F124" s="20">
        <v>0.028</v>
      </c>
      <c r="G124" s="14">
        <f>106</f>
        <v>106</v>
      </c>
      <c r="H124" s="15">
        <f t="shared" si="2"/>
        <v>2.968</v>
      </c>
      <c r="I124" s="16">
        <v>0.004</v>
      </c>
      <c r="J124" s="16">
        <f t="shared" si="3"/>
        <v>0.424</v>
      </c>
      <c r="K124" s="19" t="s">
        <v>18</v>
      </c>
      <c r="U124" s="2"/>
    </row>
    <row r="125" spans="1:21" s="1" customFormat="1" ht="25.5">
      <c r="A125" s="11">
        <v>746</v>
      </c>
      <c r="B125" s="12" t="s">
        <v>271</v>
      </c>
      <c r="C125" s="12" t="s">
        <v>233</v>
      </c>
      <c r="D125" s="12" t="s">
        <v>238</v>
      </c>
      <c r="E125" s="12" t="s">
        <v>239</v>
      </c>
      <c r="F125" s="20">
        <v>0.01</v>
      </c>
      <c r="G125" s="14">
        <f>57+24</f>
        <v>81</v>
      </c>
      <c r="H125" s="15">
        <f t="shared" si="2"/>
        <v>0.81</v>
      </c>
      <c r="I125" s="16">
        <v>0.004</v>
      </c>
      <c r="J125" s="16">
        <f t="shared" si="3"/>
        <v>0.324</v>
      </c>
      <c r="K125" s="19" t="s">
        <v>18</v>
      </c>
      <c r="U125" s="2"/>
    </row>
    <row r="126" spans="1:21" s="1" customFormat="1" ht="25.5">
      <c r="A126" s="11">
        <v>747</v>
      </c>
      <c r="B126" s="12" t="s">
        <v>272</v>
      </c>
      <c r="C126" s="12" t="s">
        <v>233</v>
      </c>
      <c r="D126" s="12" t="s">
        <v>238</v>
      </c>
      <c r="E126" s="12" t="s">
        <v>239</v>
      </c>
      <c r="F126" s="20">
        <v>0.028</v>
      </c>
      <c r="G126" s="14">
        <f>25</f>
        <v>25</v>
      </c>
      <c r="H126" s="15">
        <f t="shared" si="2"/>
        <v>0.7000000000000001</v>
      </c>
      <c r="I126" s="16">
        <v>0.004</v>
      </c>
      <c r="J126" s="16">
        <f t="shared" si="3"/>
        <v>0.1</v>
      </c>
      <c r="K126" s="19" t="s">
        <v>18</v>
      </c>
      <c r="U126" s="2"/>
    </row>
    <row r="127" spans="1:21" s="1" customFormat="1" ht="12.75">
      <c r="A127" s="11">
        <v>748</v>
      </c>
      <c r="B127" s="12" t="s">
        <v>273</v>
      </c>
      <c r="C127" s="12" t="s">
        <v>233</v>
      </c>
      <c r="D127" s="12" t="s">
        <v>238</v>
      </c>
      <c r="E127" s="12" t="s">
        <v>239</v>
      </c>
      <c r="F127" s="20">
        <v>0.01</v>
      </c>
      <c r="G127" s="14">
        <f>439+35</f>
        <v>474</v>
      </c>
      <c r="H127" s="15">
        <f t="shared" si="2"/>
        <v>4.74</v>
      </c>
      <c r="I127" s="16">
        <v>0.004</v>
      </c>
      <c r="J127" s="16">
        <f t="shared" si="3"/>
        <v>1.8960000000000001</v>
      </c>
      <c r="K127" s="19" t="s">
        <v>18</v>
      </c>
      <c r="U127" s="2"/>
    </row>
    <row r="128" spans="1:21" s="1" customFormat="1" ht="25.5">
      <c r="A128" s="11">
        <v>749</v>
      </c>
      <c r="B128" s="12" t="s">
        <v>271</v>
      </c>
      <c r="C128" s="12" t="s">
        <v>233</v>
      </c>
      <c r="D128" s="12" t="s">
        <v>238</v>
      </c>
      <c r="E128" s="12" t="s">
        <v>239</v>
      </c>
      <c r="F128" s="20">
        <v>0.01</v>
      </c>
      <c r="G128" s="14">
        <f>126+57</f>
        <v>183</v>
      </c>
      <c r="H128" s="15">
        <f t="shared" si="2"/>
        <v>1.83</v>
      </c>
      <c r="I128" s="16">
        <v>0.004</v>
      </c>
      <c r="J128" s="16">
        <f t="shared" si="3"/>
        <v>0.732</v>
      </c>
      <c r="K128" s="19" t="s">
        <v>18</v>
      </c>
      <c r="U128" s="2"/>
    </row>
    <row r="129" spans="1:21" s="1" customFormat="1" ht="12.75">
      <c r="A129" s="11">
        <v>752</v>
      </c>
      <c r="B129" s="12" t="s">
        <v>263</v>
      </c>
      <c r="C129" s="12" t="s">
        <v>233</v>
      </c>
      <c r="D129" s="12" t="s">
        <v>238</v>
      </c>
      <c r="E129" s="12" t="s">
        <v>239</v>
      </c>
      <c r="F129" s="20">
        <v>0.03</v>
      </c>
      <c r="G129" s="14">
        <f>77+20</f>
        <v>97</v>
      </c>
      <c r="H129" s="15">
        <f t="shared" si="2"/>
        <v>2.9099999999999997</v>
      </c>
      <c r="I129" s="16">
        <v>0.004</v>
      </c>
      <c r="J129" s="16">
        <f t="shared" si="3"/>
        <v>0.388</v>
      </c>
      <c r="K129" s="19" t="s">
        <v>18</v>
      </c>
      <c r="U129" s="2"/>
    </row>
    <row r="130" spans="1:21" s="1" customFormat="1" ht="12.75">
      <c r="A130" s="11">
        <v>753</v>
      </c>
      <c r="B130" s="12" t="s">
        <v>263</v>
      </c>
      <c r="C130" s="12" t="s">
        <v>233</v>
      </c>
      <c r="D130" s="12" t="s">
        <v>238</v>
      </c>
      <c r="E130" s="12" t="s">
        <v>239</v>
      </c>
      <c r="F130" s="20">
        <v>0.01</v>
      </c>
      <c r="G130" s="14">
        <f>579+44</f>
        <v>623</v>
      </c>
      <c r="H130" s="15">
        <f t="shared" si="2"/>
        <v>6.23</v>
      </c>
      <c r="I130" s="16">
        <v>0.004</v>
      </c>
      <c r="J130" s="16">
        <f t="shared" si="3"/>
        <v>2.492</v>
      </c>
      <c r="K130" s="19" t="s">
        <v>18</v>
      </c>
      <c r="U130" s="2"/>
    </row>
    <row r="131" spans="1:21" s="1" customFormat="1" ht="12.75">
      <c r="A131" s="11">
        <v>756</v>
      </c>
      <c r="B131" s="12" t="s">
        <v>274</v>
      </c>
      <c r="C131" s="12" t="s">
        <v>233</v>
      </c>
      <c r="D131" s="12" t="s">
        <v>238</v>
      </c>
      <c r="E131" s="12" t="s">
        <v>239</v>
      </c>
      <c r="F131" s="20">
        <v>0.01</v>
      </c>
      <c r="G131" s="14">
        <f>145+49</f>
        <v>194</v>
      </c>
      <c r="H131" s="15">
        <f t="shared" si="2"/>
        <v>1.94</v>
      </c>
      <c r="I131" s="16">
        <v>0.004</v>
      </c>
      <c r="J131" s="16">
        <f t="shared" si="3"/>
        <v>0.776</v>
      </c>
      <c r="K131" s="19" t="s">
        <v>18</v>
      </c>
      <c r="U131" s="2"/>
    </row>
    <row r="132" spans="1:21" s="1" customFormat="1" ht="25.5">
      <c r="A132" s="11">
        <v>757</v>
      </c>
      <c r="B132" s="12" t="s">
        <v>275</v>
      </c>
      <c r="C132" s="12" t="s">
        <v>233</v>
      </c>
      <c r="D132" s="12" t="s">
        <v>238</v>
      </c>
      <c r="E132" s="12" t="s">
        <v>239</v>
      </c>
      <c r="F132" s="20">
        <v>0.03</v>
      </c>
      <c r="G132" s="14">
        <f>370+42</f>
        <v>412</v>
      </c>
      <c r="H132" s="15">
        <f aca="true" t="shared" si="4" ref="H132:H195">G132*F132</f>
        <v>12.36</v>
      </c>
      <c r="I132" s="16">
        <v>0.004</v>
      </c>
      <c r="J132" s="16">
        <f aca="true" t="shared" si="5" ref="J132:J195">G132*I132</f>
        <v>1.6480000000000001</v>
      </c>
      <c r="K132" s="19" t="s">
        <v>18</v>
      </c>
      <c r="U132" s="2"/>
    </row>
    <row r="133" spans="1:21" s="1" customFormat="1" ht="12.75">
      <c r="A133" s="11">
        <v>759</v>
      </c>
      <c r="B133" s="12" t="s">
        <v>276</v>
      </c>
      <c r="C133" s="12" t="s">
        <v>233</v>
      </c>
      <c r="D133" s="12" t="s">
        <v>238</v>
      </c>
      <c r="E133" s="12" t="s">
        <v>239</v>
      </c>
      <c r="F133" s="20">
        <v>0.01</v>
      </c>
      <c r="G133" s="14">
        <f>18</f>
        <v>18</v>
      </c>
      <c r="H133" s="15">
        <f t="shared" si="4"/>
        <v>0.18</v>
      </c>
      <c r="I133" s="16">
        <v>0.004</v>
      </c>
      <c r="J133" s="16">
        <f t="shared" si="5"/>
        <v>0.07200000000000001</v>
      </c>
      <c r="K133" s="19" t="s">
        <v>18</v>
      </c>
      <c r="U133" s="2"/>
    </row>
    <row r="134" spans="1:21" s="1" customFormat="1" ht="12.75">
      <c r="A134" s="11">
        <v>760</v>
      </c>
      <c r="B134" s="12" t="s">
        <v>277</v>
      </c>
      <c r="C134" s="12" t="s">
        <v>233</v>
      </c>
      <c r="D134" s="12" t="s">
        <v>238</v>
      </c>
      <c r="E134" s="12" t="s">
        <v>239</v>
      </c>
      <c r="F134" s="20">
        <v>0.01</v>
      </c>
      <c r="G134" s="14">
        <f>39+20</f>
        <v>59</v>
      </c>
      <c r="H134" s="15">
        <f t="shared" si="4"/>
        <v>0.59</v>
      </c>
      <c r="I134" s="16">
        <v>0.004</v>
      </c>
      <c r="J134" s="16">
        <f t="shared" si="5"/>
        <v>0.23600000000000002</v>
      </c>
      <c r="K134" s="19" t="s">
        <v>18</v>
      </c>
      <c r="U134" s="2"/>
    </row>
    <row r="135" spans="1:21" s="1" customFormat="1" ht="51">
      <c r="A135" s="11">
        <v>776</v>
      </c>
      <c r="B135" s="12" t="s">
        <v>278</v>
      </c>
      <c r="C135" s="12" t="s">
        <v>279</v>
      </c>
      <c r="D135" s="12" t="s">
        <v>280</v>
      </c>
      <c r="E135" s="12" t="s">
        <v>281</v>
      </c>
      <c r="F135" s="20">
        <v>4.2</v>
      </c>
      <c r="G135" s="14">
        <f>10</f>
        <v>10</v>
      </c>
      <c r="H135" s="15">
        <f t="shared" si="4"/>
        <v>42</v>
      </c>
      <c r="I135" s="16">
        <v>0.5880000000000001</v>
      </c>
      <c r="J135" s="16">
        <f t="shared" si="5"/>
        <v>5.880000000000001</v>
      </c>
      <c r="K135" s="19" t="s">
        <v>18</v>
      </c>
      <c r="U135" s="2"/>
    </row>
    <row r="136" spans="1:21" s="1" customFormat="1" ht="51">
      <c r="A136" s="11">
        <v>777</v>
      </c>
      <c r="B136" s="12" t="s">
        <v>278</v>
      </c>
      <c r="C136" s="12" t="s">
        <v>279</v>
      </c>
      <c r="D136" s="12" t="s">
        <v>280</v>
      </c>
      <c r="E136" s="12" t="s">
        <v>282</v>
      </c>
      <c r="F136" s="20">
        <v>4.2</v>
      </c>
      <c r="G136" s="14">
        <f>10</f>
        <v>10</v>
      </c>
      <c r="H136" s="15">
        <f t="shared" si="4"/>
        <v>42</v>
      </c>
      <c r="I136" s="16">
        <v>0.5880000000000001</v>
      </c>
      <c r="J136" s="16">
        <f t="shared" si="5"/>
        <v>5.880000000000001</v>
      </c>
      <c r="K136" s="19" t="s">
        <v>18</v>
      </c>
      <c r="U136" s="2"/>
    </row>
    <row r="137" spans="1:21" s="1" customFormat="1" ht="51">
      <c r="A137" s="11">
        <v>778</v>
      </c>
      <c r="B137" s="12" t="s">
        <v>283</v>
      </c>
      <c r="C137" s="12" t="s">
        <v>279</v>
      </c>
      <c r="D137" s="12" t="s">
        <v>280</v>
      </c>
      <c r="E137" s="12" t="s">
        <v>281</v>
      </c>
      <c r="F137" s="20">
        <v>4.8</v>
      </c>
      <c r="G137" s="14">
        <f>8</f>
        <v>8</v>
      </c>
      <c r="H137" s="15">
        <f t="shared" si="4"/>
        <v>38.4</v>
      </c>
      <c r="I137" s="16">
        <v>0.6719999999999999</v>
      </c>
      <c r="J137" s="16">
        <f t="shared" si="5"/>
        <v>5.3759999999999994</v>
      </c>
      <c r="K137" s="19" t="s">
        <v>18</v>
      </c>
      <c r="U137" s="2"/>
    </row>
    <row r="138" spans="1:21" s="1" customFormat="1" ht="12.75">
      <c r="A138" s="11">
        <v>780</v>
      </c>
      <c r="B138" s="12" t="s">
        <v>284</v>
      </c>
      <c r="C138" s="12" t="s">
        <v>279</v>
      </c>
      <c r="D138" s="12" t="s">
        <v>285</v>
      </c>
      <c r="E138" s="12" t="s">
        <v>281</v>
      </c>
      <c r="F138" s="20">
        <v>4.2</v>
      </c>
      <c r="G138" s="14">
        <f>10</f>
        <v>10</v>
      </c>
      <c r="H138" s="15">
        <f t="shared" si="4"/>
        <v>42</v>
      </c>
      <c r="I138" s="16">
        <v>0.5880000000000001</v>
      </c>
      <c r="J138" s="16">
        <f t="shared" si="5"/>
        <v>5.880000000000001</v>
      </c>
      <c r="K138" s="19" t="s">
        <v>18</v>
      </c>
      <c r="U138" s="2"/>
    </row>
    <row r="139" spans="1:21" s="1" customFormat="1" ht="12.75">
      <c r="A139" s="11">
        <v>781</v>
      </c>
      <c r="B139" s="12" t="s">
        <v>284</v>
      </c>
      <c r="C139" s="12" t="s">
        <v>279</v>
      </c>
      <c r="D139" s="12" t="s">
        <v>285</v>
      </c>
      <c r="E139" s="12" t="s">
        <v>282</v>
      </c>
      <c r="F139" s="20">
        <v>4.2</v>
      </c>
      <c r="G139" s="14">
        <f>30</f>
        <v>30</v>
      </c>
      <c r="H139" s="15">
        <f t="shared" si="4"/>
        <v>126</v>
      </c>
      <c r="I139" s="16">
        <v>0.5880000000000001</v>
      </c>
      <c r="J139" s="16">
        <f t="shared" si="5"/>
        <v>17.64</v>
      </c>
      <c r="K139" s="19" t="s">
        <v>18</v>
      </c>
      <c r="U139" s="2"/>
    </row>
    <row r="140" spans="1:21" s="1" customFormat="1" ht="12.75">
      <c r="A140" s="11">
        <v>809</v>
      </c>
      <c r="B140" s="12" t="s">
        <v>284</v>
      </c>
      <c r="C140" s="12" t="s">
        <v>279</v>
      </c>
      <c r="D140" s="12" t="s">
        <v>285</v>
      </c>
      <c r="E140" s="12" t="s">
        <v>286</v>
      </c>
      <c r="F140" s="13">
        <v>4.2</v>
      </c>
      <c r="G140" s="14">
        <f>14</f>
        <v>14</v>
      </c>
      <c r="H140" s="15">
        <f t="shared" si="4"/>
        <v>58.800000000000004</v>
      </c>
      <c r="I140" s="16">
        <v>0.5880000000000001</v>
      </c>
      <c r="J140" s="16">
        <f t="shared" si="5"/>
        <v>8.232000000000001</v>
      </c>
      <c r="K140" s="19" t="s">
        <v>18</v>
      </c>
      <c r="U140" s="2"/>
    </row>
    <row r="141" spans="1:21" s="1" customFormat="1" ht="51">
      <c r="A141" s="11">
        <v>810</v>
      </c>
      <c r="B141" s="12" t="s">
        <v>283</v>
      </c>
      <c r="C141" s="12" t="s">
        <v>279</v>
      </c>
      <c r="D141" s="12" t="s">
        <v>280</v>
      </c>
      <c r="E141" s="12" t="s">
        <v>286</v>
      </c>
      <c r="F141" s="20">
        <v>4.8</v>
      </c>
      <c r="G141" s="14">
        <f>10</f>
        <v>10</v>
      </c>
      <c r="H141" s="15">
        <f t="shared" si="4"/>
        <v>48</v>
      </c>
      <c r="I141" s="16">
        <v>0.6719999999999999</v>
      </c>
      <c r="J141" s="16">
        <f t="shared" si="5"/>
        <v>6.719999999999999</v>
      </c>
      <c r="K141" s="19" t="s">
        <v>18</v>
      </c>
      <c r="U141" s="2"/>
    </row>
    <row r="142" spans="1:21" s="1" customFormat="1" ht="51">
      <c r="A142" s="11">
        <v>811</v>
      </c>
      <c r="B142" s="12" t="s">
        <v>287</v>
      </c>
      <c r="C142" s="12" t="s">
        <v>279</v>
      </c>
      <c r="D142" s="12" t="s">
        <v>280</v>
      </c>
      <c r="E142" s="12" t="s">
        <v>286</v>
      </c>
      <c r="F142" s="20">
        <v>6</v>
      </c>
      <c r="G142" s="14">
        <f>60+40</f>
        <v>100</v>
      </c>
      <c r="H142" s="15">
        <f t="shared" si="4"/>
        <v>600</v>
      </c>
      <c r="I142" s="16">
        <v>0.84</v>
      </c>
      <c r="J142" s="16">
        <f t="shared" si="5"/>
        <v>84</v>
      </c>
      <c r="K142" s="19" t="s">
        <v>18</v>
      </c>
      <c r="U142" s="2"/>
    </row>
    <row r="143" spans="1:21" s="1" customFormat="1" ht="25.5">
      <c r="A143" s="11">
        <v>848</v>
      </c>
      <c r="B143" s="12" t="s">
        <v>288</v>
      </c>
      <c r="C143" s="12" t="s">
        <v>279</v>
      </c>
      <c r="D143" s="12" t="s">
        <v>289</v>
      </c>
      <c r="E143" s="12" t="s">
        <v>281</v>
      </c>
      <c r="F143" s="20">
        <v>8.04</v>
      </c>
      <c r="G143" s="14">
        <f>4</f>
        <v>4</v>
      </c>
      <c r="H143" s="15">
        <f t="shared" si="4"/>
        <v>32.16</v>
      </c>
      <c r="I143" s="16">
        <v>1.1256</v>
      </c>
      <c r="J143" s="16">
        <f t="shared" si="5"/>
        <v>4.5024</v>
      </c>
      <c r="K143" s="19" t="s">
        <v>18</v>
      </c>
      <c r="U143" s="2"/>
    </row>
    <row r="144" spans="1:21" s="1" customFormat="1" ht="25.5">
      <c r="A144" s="11">
        <v>850</v>
      </c>
      <c r="B144" s="12" t="s">
        <v>288</v>
      </c>
      <c r="C144" s="12" t="s">
        <v>279</v>
      </c>
      <c r="D144" s="12" t="s">
        <v>289</v>
      </c>
      <c r="E144" s="12" t="s">
        <v>286</v>
      </c>
      <c r="F144" s="20">
        <v>8.04</v>
      </c>
      <c r="G144" s="14">
        <f>3-2</f>
        <v>1</v>
      </c>
      <c r="H144" s="15">
        <f t="shared" si="4"/>
        <v>8.04</v>
      </c>
      <c r="I144" s="16">
        <v>1.1256</v>
      </c>
      <c r="J144" s="16">
        <f t="shared" si="5"/>
        <v>1.1256</v>
      </c>
      <c r="K144" s="19" t="s">
        <v>18</v>
      </c>
      <c r="U144" s="2"/>
    </row>
    <row r="145" spans="1:21" s="1" customFormat="1" ht="25.5">
      <c r="A145" s="11">
        <v>981</v>
      </c>
      <c r="B145" s="12" t="s">
        <v>290</v>
      </c>
      <c r="C145" s="12" t="s">
        <v>233</v>
      </c>
      <c r="D145" s="12" t="s">
        <v>291</v>
      </c>
      <c r="E145" s="12" t="s">
        <v>292</v>
      </c>
      <c r="F145" s="20">
        <v>2.8</v>
      </c>
      <c r="G145" s="14">
        <v>48</v>
      </c>
      <c r="H145" s="15">
        <f t="shared" si="4"/>
        <v>134.39999999999998</v>
      </c>
      <c r="I145" s="16">
        <v>0.392</v>
      </c>
      <c r="J145" s="16">
        <f t="shared" si="5"/>
        <v>18.816000000000003</v>
      </c>
      <c r="K145" s="19" t="s">
        <v>18</v>
      </c>
      <c r="U145" s="2"/>
    </row>
    <row r="146" spans="1:21" s="1" customFormat="1" ht="12.75">
      <c r="A146" s="11">
        <v>984</v>
      </c>
      <c r="B146" s="12" t="s">
        <v>293</v>
      </c>
      <c r="C146" s="12" t="s">
        <v>233</v>
      </c>
      <c r="D146" s="12" t="s">
        <v>234</v>
      </c>
      <c r="E146" s="12" t="s">
        <v>294</v>
      </c>
      <c r="F146" s="20">
        <v>2.5</v>
      </c>
      <c r="G146" s="14">
        <f>12</f>
        <v>12</v>
      </c>
      <c r="H146" s="15">
        <f t="shared" si="4"/>
        <v>30</v>
      </c>
      <c r="I146" s="16">
        <v>0.35</v>
      </c>
      <c r="J146" s="16">
        <f t="shared" si="5"/>
        <v>4.199999999999999</v>
      </c>
      <c r="K146" s="19" t="s">
        <v>18</v>
      </c>
      <c r="U146" s="2"/>
    </row>
    <row r="147" spans="1:21" s="1" customFormat="1" ht="12.75">
      <c r="A147" s="11">
        <v>985</v>
      </c>
      <c r="B147" s="12" t="s">
        <v>295</v>
      </c>
      <c r="C147" s="12" t="s">
        <v>233</v>
      </c>
      <c r="D147" s="12" t="s">
        <v>234</v>
      </c>
      <c r="E147" s="12" t="s">
        <v>294</v>
      </c>
      <c r="F147" s="20">
        <v>2.5</v>
      </c>
      <c r="G147" s="14">
        <f>17</f>
        <v>17</v>
      </c>
      <c r="H147" s="15">
        <f t="shared" si="4"/>
        <v>42.5</v>
      </c>
      <c r="I147" s="16">
        <v>0.35</v>
      </c>
      <c r="J147" s="16">
        <f t="shared" si="5"/>
        <v>5.949999999999999</v>
      </c>
      <c r="K147" s="19" t="s">
        <v>18</v>
      </c>
      <c r="U147" s="2"/>
    </row>
    <row r="148" spans="1:21" s="1" customFormat="1" ht="12.75">
      <c r="A148" s="11">
        <v>986</v>
      </c>
      <c r="B148" s="12" t="s">
        <v>296</v>
      </c>
      <c r="C148" s="12" t="s">
        <v>233</v>
      </c>
      <c r="D148" s="12" t="s">
        <v>234</v>
      </c>
      <c r="E148" s="12" t="s">
        <v>294</v>
      </c>
      <c r="F148" s="20">
        <v>2.5</v>
      </c>
      <c r="G148" s="14">
        <f>60+40+60+27</f>
        <v>187</v>
      </c>
      <c r="H148" s="15">
        <f t="shared" si="4"/>
        <v>467.5</v>
      </c>
      <c r="I148" s="16">
        <v>0.35</v>
      </c>
      <c r="J148" s="16">
        <f t="shared" si="5"/>
        <v>65.45</v>
      </c>
      <c r="K148" s="19" t="s">
        <v>18</v>
      </c>
      <c r="U148" s="2"/>
    </row>
    <row r="149" spans="1:21" s="1" customFormat="1" ht="12.75">
      <c r="A149" s="11">
        <v>1025</v>
      </c>
      <c r="B149" s="14" t="s">
        <v>297</v>
      </c>
      <c r="C149" s="12" t="s">
        <v>233</v>
      </c>
      <c r="D149" s="12" t="s">
        <v>234</v>
      </c>
      <c r="E149" s="12" t="s">
        <v>235</v>
      </c>
      <c r="F149" s="13">
        <v>0.73</v>
      </c>
      <c r="G149" s="14">
        <f>68+19</f>
        <v>87</v>
      </c>
      <c r="H149" s="15">
        <f t="shared" si="4"/>
        <v>63.51</v>
      </c>
      <c r="I149" s="16">
        <v>0.1022</v>
      </c>
      <c r="J149" s="16">
        <f t="shared" si="5"/>
        <v>8.891399999999999</v>
      </c>
      <c r="K149" s="19" t="s">
        <v>18</v>
      </c>
      <c r="U149" s="2"/>
    </row>
    <row r="150" spans="1:21" s="1" customFormat="1" ht="12.75">
      <c r="A150" s="11">
        <v>1027</v>
      </c>
      <c r="B150" s="14" t="s">
        <v>298</v>
      </c>
      <c r="C150" s="12" t="s">
        <v>233</v>
      </c>
      <c r="D150" s="12" t="s">
        <v>234</v>
      </c>
      <c r="E150" s="12" t="s">
        <v>235</v>
      </c>
      <c r="F150" s="13">
        <v>1.06</v>
      </c>
      <c r="G150" s="14">
        <f>18</f>
        <v>18</v>
      </c>
      <c r="H150" s="15">
        <f t="shared" si="4"/>
        <v>19.080000000000002</v>
      </c>
      <c r="I150" s="16">
        <v>0.1484</v>
      </c>
      <c r="J150" s="16">
        <f t="shared" si="5"/>
        <v>2.6712000000000002</v>
      </c>
      <c r="K150" s="19" t="s">
        <v>18</v>
      </c>
      <c r="U150" s="2"/>
    </row>
    <row r="151" spans="1:21" s="1" customFormat="1" ht="12.75">
      <c r="A151" s="11">
        <v>1029</v>
      </c>
      <c r="B151" s="14" t="s">
        <v>299</v>
      </c>
      <c r="C151" s="12" t="s">
        <v>233</v>
      </c>
      <c r="D151" s="12" t="s">
        <v>234</v>
      </c>
      <c r="E151" s="12" t="s">
        <v>235</v>
      </c>
      <c r="F151" s="20">
        <v>0.73</v>
      </c>
      <c r="G151" s="14">
        <f>10</f>
        <v>10</v>
      </c>
      <c r="H151" s="15">
        <f t="shared" si="4"/>
        <v>7.3</v>
      </c>
      <c r="I151" s="16">
        <v>0.1022</v>
      </c>
      <c r="J151" s="16">
        <f t="shared" si="5"/>
        <v>1.022</v>
      </c>
      <c r="K151" s="19" t="s">
        <v>18</v>
      </c>
      <c r="U151" s="2"/>
    </row>
    <row r="152" spans="1:21" s="1" customFormat="1" ht="12.75">
      <c r="A152" s="11">
        <v>1030</v>
      </c>
      <c r="B152" s="12" t="s">
        <v>300</v>
      </c>
      <c r="C152" s="12" t="s">
        <v>233</v>
      </c>
      <c r="D152" s="12" t="s">
        <v>234</v>
      </c>
      <c r="E152" s="12" t="s">
        <v>301</v>
      </c>
      <c r="F152" s="13">
        <v>10.5</v>
      </c>
      <c r="G152" s="14">
        <v>20</v>
      </c>
      <c r="H152" s="15">
        <f t="shared" si="4"/>
        <v>210</v>
      </c>
      <c r="I152" s="16">
        <v>1.05</v>
      </c>
      <c r="J152" s="16">
        <f t="shared" si="5"/>
        <v>21</v>
      </c>
      <c r="K152" s="19" t="s">
        <v>18</v>
      </c>
      <c r="U152" s="2"/>
    </row>
    <row r="153" spans="1:21" s="1" customFormat="1" ht="12.75">
      <c r="A153" s="11">
        <v>1034</v>
      </c>
      <c r="B153" s="14" t="s">
        <v>302</v>
      </c>
      <c r="C153" s="12" t="s">
        <v>233</v>
      </c>
      <c r="D153" s="12" t="s">
        <v>234</v>
      </c>
      <c r="E153" s="12" t="s">
        <v>301</v>
      </c>
      <c r="F153" s="13">
        <v>10.5</v>
      </c>
      <c r="G153" s="14">
        <v>57</v>
      </c>
      <c r="H153" s="15">
        <f t="shared" si="4"/>
        <v>598.5</v>
      </c>
      <c r="I153" s="16">
        <v>1.05</v>
      </c>
      <c r="J153" s="16">
        <f t="shared" si="5"/>
        <v>59.85</v>
      </c>
      <c r="K153" s="19" t="s">
        <v>18</v>
      </c>
      <c r="U153" s="2"/>
    </row>
    <row r="154" spans="1:21" s="1" customFormat="1" ht="12.75">
      <c r="A154" s="11">
        <v>1035</v>
      </c>
      <c r="B154" s="14" t="s">
        <v>303</v>
      </c>
      <c r="C154" s="12" t="s">
        <v>233</v>
      </c>
      <c r="D154" s="12" t="s">
        <v>234</v>
      </c>
      <c r="E154" s="12" t="s">
        <v>301</v>
      </c>
      <c r="F154" s="13">
        <v>10.5</v>
      </c>
      <c r="G154" s="14">
        <f>19</f>
        <v>19</v>
      </c>
      <c r="H154" s="15">
        <f t="shared" si="4"/>
        <v>199.5</v>
      </c>
      <c r="I154" s="16">
        <v>1.05</v>
      </c>
      <c r="J154" s="16">
        <f t="shared" si="5"/>
        <v>19.95</v>
      </c>
      <c r="K154" s="19" t="s">
        <v>18</v>
      </c>
      <c r="U154" s="2"/>
    </row>
    <row r="155" spans="1:21" s="1" customFormat="1" ht="25.5">
      <c r="A155" s="11">
        <v>1106</v>
      </c>
      <c r="B155" s="14" t="s">
        <v>304</v>
      </c>
      <c r="C155" s="12" t="s">
        <v>233</v>
      </c>
      <c r="D155" s="12" t="s">
        <v>291</v>
      </c>
      <c r="E155" s="12" t="s">
        <v>305</v>
      </c>
      <c r="F155" s="13">
        <v>15.4</v>
      </c>
      <c r="G155" s="14">
        <v>2</v>
      </c>
      <c r="H155" s="15">
        <f t="shared" si="4"/>
        <v>30.8</v>
      </c>
      <c r="I155" s="16">
        <v>1.54</v>
      </c>
      <c r="J155" s="16">
        <f t="shared" si="5"/>
        <v>3.08</v>
      </c>
      <c r="K155" s="19" t="s">
        <v>18</v>
      </c>
      <c r="U155" s="2"/>
    </row>
    <row r="156" spans="1:21" s="1" customFormat="1" ht="25.5">
      <c r="A156" s="11">
        <v>1107</v>
      </c>
      <c r="B156" s="14" t="s">
        <v>306</v>
      </c>
      <c r="C156" s="12" t="s">
        <v>233</v>
      </c>
      <c r="D156" s="12" t="s">
        <v>291</v>
      </c>
      <c r="E156" s="12" t="s">
        <v>305</v>
      </c>
      <c r="F156" s="20">
        <v>15.4</v>
      </c>
      <c r="G156" s="14">
        <v>1</v>
      </c>
      <c r="H156" s="15">
        <f t="shared" si="4"/>
        <v>15.4</v>
      </c>
      <c r="I156" s="16">
        <v>1.54</v>
      </c>
      <c r="J156" s="16">
        <f t="shared" si="5"/>
        <v>1.54</v>
      </c>
      <c r="K156" s="19" t="s">
        <v>18</v>
      </c>
      <c r="U156" s="2"/>
    </row>
    <row r="157" spans="1:21" s="1" customFormat="1" ht="25.5">
      <c r="A157" s="11">
        <v>1247</v>
      </c>
      <c r="B157" s="14" t="s">
        <v>307</v>
      </c>
      <c r="C157" s="12" t="s">
        <v>233</v>
      </c>
      <c r="D157" s="12" t="s">
        <v>291</v>
      </c>
      <c r="E157" s="12" t="s">
        <v>308</v>
      </c>
      <c r="F157" s="13">
        <v>18</v>
      </c>
      <c r="G157" s="14">
        <f>5+6</f>
        <v>11</v>
      </c>
      <c r="H157" s="15">
        <f t="shared" si="4"/>
        <v>198</v>
      </c>
      <c r="I157" s="16">
        <v>1.7920000000000003</v>
      </c>
      <c r="J157" s="16">
        <f t="shared" si="5"/>
        <v>19.712000000000003</v>
      </c>
      <c r="K157" s="19" t="s">
        <v>18</v>
      </c>
      <c r="U157" s="2"/>
    </row>
    <row r="158" spans="1:21" s="1" customFormat="1" ht="25.5">
      <c r="A158" s="11">
        <v>1249</v>
      </c>
      <c r="B158" s="14" t="s">
        <v>309</v>
      </c>
      <c r="C158" s="12" t="s">
        <v>233</v>
      </c>
      <c r="D158" s="12" t="s">
        <v>291</v>
      </c>
      <c r="E158" s="12" t="s">
        <v>308</v>
      </c>
      <c r="F158" s="20">
        <v>18</v>
      </c>
      <c r="G158" s="14">
        <f>2</f>
        <v>2</v>
      </c>
      <c r="H158" s="15">
        <f t="shared" si="4"/>
        <v>36</v>
      </c>
      <c r="I158" s="16">
        <v>1.7920000000000003</v>
      </c>
      <c r="J158" s="16">
        <f t="shared" si="5"/>
        <v>3.5840000000000005</v>
      </c>
      <c r="K158" s="19" t="s">
        <v>18</v>
      </c>
      <c r="U158" s="2"/>
    </row>
    <row r="159" spans="1:21" s="1" customFormat="1" ht="12.75">
      <c r="A159" s="11">
        <v>1340</v>
      </c>
      <c r="B159" s="14" t="s">
        <v>310</v>
      </c>
      <c r="C159" s="12" t="s">
        <v>233</v>
      </c>
      <c r="D159" s="12" t="s">
        <v>311</v>
      </c>
      <c r="E159" s="12" t="s">
        <v>312</v>
      </c>
      <c r="F159" s="20">
        <v>0.65</v>
      </c>
      <c r="G159" s="14">
        <f>33-33</f>
        <v>0</v>
      </c>
      <c r="H159" s="15">
        <f t="shared" si="4"/>
        <v>0</v>
      </c>
      <c r="I159" s="16">
        <v>0.05600000000000001</v>
      </c>
      <c r="J159" s="16">
        <f t="shared" si="5"/>
        <v>0</v>
      </c>
      <c r="K159" s="19" t="s">
        <v>18</v>
      </c>
      <c r="U159" s="2"/>
    </row>
    <row r="160" spans="1:21" s="1" customFormat="1" ht="12.75">
      <c r="A160" s="11">
        <v>1341</v>
      </c>
      <c r="B160" s="14" t="s">
        <v>313</v>
      </c>
      <c r="C160" s="12" t="s">
        <v>233</v>
      </c>
      <c r="D160" s="12" t="s">
        <v>311</v>
      </c>
      <c r="E160" s="12" t="s">
        <v>312</v>
      </c>
      <c r="F160" s="20">
        <v>0.65</v>
      </c>
      <c r="G160" s="14">
        <f>55-55</f>
        <v>0</v>
      </c>
      <c r="H160" s="15">
        <f t="shared" si="4"/>
        <v>0</v>
      </c>
      <c r="I160" s="16">
        <v>0.05600000000000001</v>
      </c>
      <c r="J160" s="16">
        <f t="shared" si="5"/>
        <v>0</v>
      </c>
      <c r="K160" s="19" t="s">
        <v>18</v>
      </c>
      <c r="U160" s="2"/>
    </row>
    <row r="161" spans="1:21" s="1" customFormat="1" ht="12.75">
      <c r="A161" s="11">
        <v>1352</v>
      </c>
      <c r="B161" s="14" t="s">
        <v>314</v>
      </c>
      <c r="C161" s="12" t="s">
        <v>233</v>
      </c>
      <c r="D161" s="12" t="s">
        <v>315</v>
      </c>
      <c r="E161" s="12" t="s">
        <v>316</v>
      </c>
      <c r="F161" s="20">
        <v>6</v>
      </c>
      <c r="G161" s="14">
        <v>56</v>
      </c>
      <c r="H161" s="15">
        <f t="shared" si="4"/>
        <v>336</v>
      </c>
      <c r="I161" s="16">
        <v>0.8</v>
      </c>
      <c r="J161" s="16">
        <f t="shared" si="5"/>
        <v>44.800000000000004</v>
      </c>
      <c r="K161" s="19" t="s">
        <v>18</v>
      </c>
      <c r="U161" s="2"/>
    </row>
    <row r="162" spans="1:21" s="1" customFormat="1" ht="25.5">
      <c r="A162" s="11">
        <v>1363</v>
      </c>
      <c r="B162" s="14" t="s">
        <v>317</v>
      </c>
      <c r="C162" s="12" t="s">
        <v>233</v>
      </c>
      <c r="D162" s="12" t="s">
        <v>291</v>
      </c>
      <c r="E162" s="12" t="s">
        <v>318</v>
      </c>
      <c r="F162" s="20">
        <v>0.28</v>
      </c>
      <c r="G162" s="14">
        <v>814</v>
      </c>
      <c r="H162" s="15">
        <f t="shared" si="4"/>
        <v>227.92000000000002</v>
      </c>
      <c r="I162" s="16">
        <v>0.028000000000000004</v>
      </c>
      <c r="J162" s="16">
        <f t="shared" si="5"/>
        <v>22.792</v>
      </c>
      <c r="K162" s="19" t="s">
        <v>18</v>
      </c>
      <c r="U162" s="2"/>
    </row>
    <row r="163" spans="1:21" s="1" customFormat="1" ht="25.5">
      <c r="A163" s="11">
        <v>1372</v>
      </c>
      <c r="B163" s="14" t="s">
        <v>319</v>
      </c>
      <c r="C163" s="12" t="s">
        <v>233</v>
      </c>
      <c r="D163" s="12" t="s">
        <v>291</v>
      </c>
      <c r="E163" s="12" t="s">
        <v>318</v>
      </c>
      <c r="F163" s="20">
        <v>0.28</v>
      </c>
      <c r="G163" s="14">
        <v>700</v>
      </c>
      <c r="H163" s="15">
        <f t="shared" si="4"/>
        <v>196.00000000000003</v>
      </c>
      <c r="I163" s="16">
        <v>0.028000000000000004</v>
      </c>
      <c r="J163" s="16">
        <f t="shared" si="5"/>
        <v>19.6</v>
      </c>
      <c r="K163" s="19" t="s">
        <v>18</v>
      </c>
      <c r="U163" s="2"/>
    </row>
    <row r="164" spans="1:21" s="1" customFormat="1" ht="25.5">
      <c r="A164" s="11">
        <v>1381</v>
      </c>
      <c r="B164" s="14" t="s">
        <v>320</v>
      </c>
      <c r="C164" s="12" t="s">
        <v>233</v>
      </c>
      <c r="D164" s="12" t="s">
        <v>291</v>
      </c>
      <c r="E164" s="12" t="s">
        <v>318</v>
      </c>
      <c r="F164" s="20">
        <v>0.28</v>
      </c>
      <c r="G164" s="14">
        <v>510</v>
      </c>
      <c r="H164" s="15">
        <f t="shared" si="4"/>
        <v>142.8</v>
      </c>
      <c r="I164" s="16">
        <v>0.028000000000000004</v>
      </c>
      <c r="J164" s="16">
        <f t="shared" si="5"/>
        <v>14.280000000000003</v>
      </c>
      <c r="K164" s="19" t="s">
        <v>18</v>
      </c>
      <c r="U164" s="2"/>
    </row>
    <row r="165" spans="1:21" s="1" customFormat="1" ht="25.5">
      <c r="A165" s="11">
        <v>1399</v>
      </c>
      <c r="B165" s="14" t="s">
        <v>321</v>
      </c>
      <c r="C165" s="12" t="s">
        <v>233</v>
      </c>
      <c r="D165" s="12" t="s">
        <v>291</v>
      </c>
      <c r="E165" s="12" t="s">
        <v>305</v>
      </c>
      <c r="F165" s="20">
        <v>12.6</v>
      </c>
      <c r="G165" s="14">
        <v>3</v>
      </c>
      <c r="H165" s="15">
        <f t="shared" si="4"/>
        <v>37.8</v>
      </c>
      <c r="I165" s="16">
        <v>1.26</v>
      </c>
      <c r="J165" s="16">
        <f t="shared" si="5"/>
        <v>3.7800000000000002</v>
      </c>
      <c r="K165" s="19"/>
      <c r="U165" s="2"/>
    </row>
    <row r="166" spans="1:21" s="1" customFormat="1" ht="12.75">
      <c r="A166" s="11">
        <v>1406</v>
      </c>
      <c r="B166" s="14" t="s">
        <v>322</v>
      </c>
      <c r="C166" s="12" t="s">
        <v>233</v>
      </c>
      <c r="D166" s="12" t="s">
        <v>238</v>
      </c>
      <c r="E166" s="12" t="s">
        <v>323</v>
      </c>
      <c r="F166" s="20">
        <v>1.85</v>
      </c>
      <c r="G166" s="14">
        <f>6*130</f>
        <v>780</v>
      </c>
      <c r="H166" s="15">
        <f t="shared" si="4"/>
        <v>1443</v>
      </c>
      <c r="I166" s="16">
        <v>0.3</v>
      </c>
      <c r="J166" s="16">
        <f t="shared" si="5"/>
        <v>234</v>
      </c>
      <c r="K166" s="19" t="s">
        <v>18</v>
      </c>
      <c r="U166" s="2"/>
    </row>
    <row r="167" spans="1:21" s="1" customFormat="1" ht="12.75">
      <c r="A167" s="11">
        <v>1409</v>
      </c>
      <c r="B167" s="14" t="s">
        <v>324</v>
      </c>
      <c r="C167" s="12" t="s">
        <v>233</v>
      </c>
      <c r="D167" s="12" t="s">
        <v>234</v>
      </c>
      <c r="E167" s="12" t="s">
        <v>325</v>
      </c>
      <c r="F167" s="20">
        <v>2.4</v>
      </c>
      <c r="G167" s="14">
        <f>10*43-1</f>
        <v>429</v>
      </c>
      <c r="H167" s="15">
        <f t="shared" si="4"/>
        <v>1029.6</v>
      </c>
      <c r="I167" s="16">
        <v>0.3</v>
      </c>
      <c r="J167" s="16">
        <f t="shared" si="5"/>
        <v>128.7</v>
      </c>
      <c r="K167" s="19" t="s">
        <v>18</v>
      </c>
      <c r="U167" s="2"/>
    </row>
    <row r="168" spans="1:21" s="1" customFormat="1" ht="12.75">
      <c r="A168" s="11">
        <v>1421</v>
      </c>
      <c r="B168" s="14" t="s">
        <v>326</v>
      </c>
      <c r="C168" s="12" t="s">
        <v>233</v>
      </c>
      <c r="D168" s="12" t="s">
        <v>238</v>
      </c>
      <c r="E168" s="12" t="s">
        <v>239</v>
      </c>
      <c r="F168" s="20">
        <v>0.016</v>
      </c>
      <c r="G168" s="14">
        <f>502</f>
        <v>502</v>
      </c>
      <c r="H168" s="15">
        <f t="shared" si="4"/>
        <v>8.032</v>
      </c>
      <c r="I168" s="16">
        <v>0.004</v>
      </c>
      <c r="J168" s="16">
        <f t="shared" si="5"/>
        <v>2.008</v>
      </c>
      <c r="K168" s="19" t="s">
        <v>18</v>
      </c>
      <c r="U168" s="2"/>
    </row>
    <row r="169" spans="1:21" s="1" customFormat="1" ht="12.75">
      <c r="A169" s="11">
        <v>1425</v>
      </c>
      <c r="B169" s="14" t="s">
        <v>327</v>
      </c>
      <c r="C169" s="12" t="s">
        <v>233</v>
      </c>
      <c r="D169" s="12" t="s">
        <v>238</v>
      </c>
      <c r="E169" s="12" t="s">
        <v>239</v>
      </c>
      <c r="F169" s="20">
        <v>0.016</v>
      </c>
      <c r="G169" s="14">
        <f>181</f>
        <v>181</v>
      </c>
      <c r="H169" s="15">
        <f t="shared" si="4"/>
        <v>2.896</v>
      </c>
      <c r="I169" s="16">
        <v>0.004</v>
      </c>
      <c r="J169" s="16">
        <f t="shared" si="5"/>
        <v>0.724</v>
      </c>
      <c r="K169" s="19" t="s">
        <v>18</v>
      </c>
      <c r="U169" s="2"/>
    </row>
    <row r="170" spans="1:21" s="1" customFormat="1" ht="12.75">
      <c r="A170" s="11">
        <v>1430</v>
      </c>
      <c r="B170" s="14" t="s">
        <v>328</v>
      </c>
      <c r="C170" s="12" t="s">
        <v>233</v>
      </c>
      <c r="D170" s="12" t="s">
        <v>238</v>
      </c>
      <c r="E170" s="12" t="s">
        <v>239</v>
      </c>
      <c r="F170" s="20">
        <v>0.016</v>
      </c>
      <c r="G170" s="14">
        <f>1297</f>
        <v>1297</v>
      </c>
      <c r="H170" s="15">
        <f t="shared" si="4"/>
        <v>20.752</v>
      </c>
      <c r="I170" s="16">
        <v>0.004</v>
      </c>
      <c r="J170" s="16">
        <f t="shared" si="5"/>
        <v>5.188</v>
      </c>
      <c r="K170" s="19" t="s">
        <v>18</v>
      </c>
      <c r="U170" s="2"/>
    </row>
    <row r="171" spans="1:21" s="1" customFormat="1" ht="12.75">
      <c r="A171" s="11">
        <v>1436</v>
      </c>
      <c r="B171" s="14" t="s">
        <v>329</v>
      </c>
      <c r="C171" s="12" t="s">
        <v>233</v>
      </c>
      <c r="D171" s="12" t="s">
        <v>238</v>
      </c>
      <c r="E171" s="12" t="s">
        <v>239</v>
      </c>
      <c r="F171" s="20">
        <v>0.016</v>
      </c>
      <c r="G171" s="14">
        <f>63</f>
        <v>63</v>
      </c>
      <c r="H171" s="15">
        <f t="shared" si="4"/>
        <v>1.008</v>
      </c>
      <c r="I171" s="16">
        <v>0.004</v>
      </c>
      <c r="J171" s="16">
        <f t="shared" si="5"/>
        <v>0.252</v>
      </c>
      <c r="K171" s="19" t="s">
        <v>18</v>
      </c>
      <c r="U171" s="2"/>
    </row>
    <row r="172" spans="1:21" s="1" customFormat="1" ht="12.75">
      <c r="A172" s="11">
        <v>1471</v>
      </c>
      <c r="B172" s="14" t="s">
        <v>330</v>
      </c>
      <c r="C172" s="12" t="s">
        <v>233</v>
      </c>
      <c r="D172" s="12" t="s">
        <v>238</v>
      </c>
      <c r="E172" s="12" t="s">
        <v>239</v>
      </c>
      <c r="F172" s="20">
        <v>0.028</v>
      </c>
      <c r="G172" s="14">
        <f>213</f>
        <v>213</v>
      </c>
      <c r="H172" s="15">
        <f t="shared" si="4"/>
        <v>5.964</v>
      </c>
      <c r="I172" s="16">
        <v>0.004</v>
      </c>
      <c r="J172" s="16">
        <f t="shared" si="5"/>
        <v>0.852</v>
      </c>
      <c r="K172" s="19" t="s">
        <v>18</v>
      </c>
      <c r="U172" s="2"/>
    </row>
    <row r="173" spans="1:21" s="1" customFormat="1" ht="12.75">
      <c r="A173" s="11">
        <v>1472</v>
      </c>
      <c r="B173" s="12" t="s">
        <v>331</v>
      </c>
      <c r="C173" s="12" t="s">
        <v>233</v>
      </c>
      <c r="D173" s="12" t="s">
        <v>238</v>
      </c>
      <c r="E173" s="12" t="s">
        <v>239</v>
      </c>
      <c r="F173" s="13">
        <v>0.028</v>
      </c>
      <c r="G173" s="14">
        <f>302</f>
        <v>302</v>
      </c>
      <c r="H173" s="15">
        <f t="shared" si="4"/>
        <v>8.456</v>
      </c>
      <c r="I173" s="16">
        <v>0.004</v>
      </c>
      <c r="J173" s="16">
        <f t="shared" si="5"/>
        <v>1.208</v>
      </c>
      <c r="K173" s="19" t="s">
        <v>18</v>
      </c>
      <c r="U173" s="2"/>
    </row>
    <row r="174" spans="1:21" s="1" customFormat="1" ht="12.75">
      <c r="A174" s="11">
        <v>1473</v>
      </c>
      <c r="B174" s="12" t="s">
        <v>332</v>
      </c>
      <c r="C174" s="12" t="s">
        <v>233</v>
      </c>
      <c r="D174" s="12" t="s">
        <v>238</v>
      </c>
      <c r="E174" s="12" t="s">
        <v>239</v>
      </c>
      <c r="F174" s="13">
        <v>0.016</v>
      </c>
      <c r="G174" s="14">
        <f>122+23</f>
        <v>145</v>
      </c>
      <c r="H174" s="15">
        <f t="shared" si="4"/>
        <v>2.32</v>
      </c>
      <c r="I174" s="16">
        <v>0.004</v>
      </c>
      <c r="J174" s="16">
        <f t="shared" si="5"/>
        <v>0.58</v>
      </c>
      <c r="K174" s="19" t="s">
        <v>18</v>
      </c>
      <c r="U174" s="2"/>
    </row>
    <row r="175" spans="1:21" s="1" customFormat="1" ht="12.75">
      <c r="A175" s="11">
        <v>1474</v>
      </c>
      <c r="B175" s="12" t="s">
        <v>333</v>
      </c>
      <c r="C175" s="12" t="s">
        <v>233</v>
      </c>
      <c r="D175" s="12" t="s">
        <v>238</v>
      </c>
      <c r="E175" s="12" t="s">
        <v>239</v>
      </c>
      <c r="F175" s="13">
        <v>0.028</v>
      </c>
      <c r="G175" s="14">
        <f>204+148</f>
        <v>352</v>
      </c>
      <c r="H175" s="15">
        <f t="shared" si="4"/>
        <v>9.856</v>
      </c>
      <c r="I175" s="16">
        <v>0.004</v>
      </c>
      <c r="J175" s="16">
        <f t="shared" si="5"/>
        <v>1.408</v>
      </c>
      <c r="K175" s="19" t="s">
        <v>18</v>
      </c>
      <c r="U175" s="2"/>
    </row>
    <row r="176" spans="1:21" s="1" customFormat="1" ht="12.75">
      <c r="A176" s="11">
        <v>1475</v>
      </c>
      <c r="B176" s="14" t="s">
        <v>334</v>
      </c>
      <c r="C176" s="12" t="s">
        <v>233</v>
      </c>
      <c r="D176" s="12" t="s">
        <v>238</v>
      </c>
      <c r="E176" s="12" t="s">
        <v>239</v>
      </c>
      <c r="F176" s="20">
        <v>0.016</v>
      </c>
      <c r="G176" s="14">
        <f>430</f>
        <v>430</v>
      </c>
      <c r="H176" s="15">
        <f t="shared" si="4"/>
        <v>6.88</v>
      </c>
      <c r="I176" s="16">
        <v>0.004</v>
      </c>
      <c r="J176" s="16">
        <f t="shared" si="5"/>
        <v>1.72</v>
      </c>
      <c r="K176" s="19" t="s">
        <v>18</v>
      </c>
      <c r="U176" s="2"/>
    </row>
    <row r="177" spans="1:21" s="1" customFormat="1" ht="12.75">
      <c r="A177" s="11">
        <v>1476</v>
      </c>
      <c r="B177" s="14" t="s">
        <v>335</v>
      </c>
      <c r="C177" s="12" t="s">
        <v>233</v>
      </c>
      <c r="D177" s="12" t="s">
        <v>238</v>
      </c>
      <c r="E177" s="12" t="s">
        <v>239</v>
      </c>
      <c r="F177" s="20">
        <v>0.028</v>
      </c>
      <c r="G177" s="14">
        <f>215</f>
        <v>215</v>
      </c>
      <c r="H177" s="15">
        <f t="shared" si="4"/>
        <v>6.0200000000000005</v>
      </c>
      <c r="I177" s="16">
        <v>0.004</v>
      </c>
      <c r="J177" s="16">
        <f t="shared" si="5"/>
        <v>0.86</v>
      </c>
      <c r="K177" s="19" t="s">
        <v>18</v>
      </c>
      <c r="U177" s="2"/>
    </row>
    <row r="178" spans="1:21" s="1" customFormat="1" ht="12.75">
      <c r="A178" s="11">
        <v>1516</v>
      </c>
      <c r="B178" s="14" t="s">
        <v>336</v>
      </c>
      <c r="C178" s="12" t="s">
        <v>233</v>
      </c>
      <c r="D178" s="12" t="s">
        <v>315</v>
      </c>
      <c r="E178" s="12" t="s">
        <v>337</v>
      </c>
      <c r="F178" s="20">
        <v>1.5</v>
      </c>
      <c r="G178" s="14">
        <v>19</v>
      </c>
      <c r="H178" s="15">
        <f t="shared" si="4"/>
        <v>28.5</v>
      </c>
      <c r="I178" s="16">
        <v>0.15</v>
      </c>
      <c r="J178" s="16">
        <f t="shared" si="5"/>
        <v>2.85</v>
      </c>
      <c r="K178" s="19" t="s">
        <v>18</v>
      </c>
      <c r="U178" s="2"/>
    </row>
    <row r="179" spans="1:21" s="1" customFormat="1" ht="12.75">
      <c r="A179" s="11">
        <v>1517</v>
      </c>
      <c r="B179" s="14" t="s">
        <v>338</v>
      </c>
      <c r="C179" s="12" t="s">
        <v>233</v>
      </c>
      <c r="D179" s="12" t="s">
        <v>315</v>
      </c>
      <c r="E179" s="12" t="s">
        <v>337</v>
      </c>
      <c r="F179" s="20">
        <v>1.5</v>
      </c>
      <c r="G179" s="14">
        <v>32</v>
      </c>
      <c r="H179" s="15">
        <f t="shared" si="4"/>
        <v>48</v>
      </c>
      <c r="I179" s="16">
        <v>0.15</v>
      </c>
      <c r="J179" s="16">
        <f t="shared" si="5"/>
        <v>4.8</v>
      </c>
      <c r="K179" s="19" t="s">
        <v>18</v>
      </c>
      <c r="U179" s="2"/>
    </row>
    <row r="180" spans="1:21" s="1" customFormat="1" ht="25.5">
      <c r="A180" s="11">
        <v>1520</v>
      </c>
      <c r="B180" s="14" t="s">
        <v>339</v>
      </c>
      <c r="C180" s="12" t="s">
        <v>233</v>
      </c>
      <c r="D180" s="12" t="s">
        <v>234</v>
      </c>
      <c r="E180" s="12" t="s">
        <v>340</v>
      </c>
      <c r="F180" s="20">
        <v>1.06</v>
      </c>
      <c r="G180" s="14">
        <v>6</v>
      </c>
      <c r="H180" s="15">
        <f t="shared" si="4"/>
        <v>6.36</v>
      </c>
      <c r="I180" s="16">
        <v>0.10600000000000001</v>
      </c>
      <c r="J180" s="16">
        <f t="shared" si="5"/>
        <v>0.6360000000000001</v>
      </c>
      <c r="K180" s="19" t="s">
        <v>18</v>
      </c>
      <c r="U180" s="2"/>
    </row>
    <row r="181" spans="1:21" s="1" customFormat="1" ht="25.5">
      <c r="A181" s="11">
        <v>1521</v>
      </c>
      <c r="B181" s="14" t="s">
        <v>341</v>
      </c>
      <c r="C181" s="12" t="s">
        <v>233</v>
      </c>
      <c r="D181" s="12" t="s">
        <v>234</v>
      </c>
      <c r="E181" s="12" t="s">
        <v>340</v>
      </c>
      <c r="F181" s="20">
        <v>1.06</v>
      </c>
      <c r="G181" s="14">
        <v>9</v>
      </c>
      <c r="H181" s="15">
        <f t="shared" si="4"/>
        <v>9.540000000000001</v>
      </c>
      <c r="I181" s="16">
        <v>0.10600000000000001</v>
      </c>
      <c r="J181" s="16">
        <f t="shared" si="5"/>
        <v>0.9540000000000001</v>
      </c>
      <c r="K181" s="19" t="s">
        <v>18</v>
      </c>
      <c r="U181" s="2"/>
    </row>
    <row r="182" spans="1:21" s="1" customFormat="1" ht="25.5">
      <c r="A182" s="11">
        <v>1609</v>
      </c>
      <c r="B182" s="14" t="s">
        <v>342</v>
      </c>
      <c r="C182" s="12" t="s">
        <v>233</v>
      </c>
      <c r="D182" s="12" t="s">
        <v>291</v>
      </c>
      <c r="E182" s="12" t="s">
        <v>292</v>
      </c>
      <c r="F182" s="13">
        <v>2.8</v>
      </c>
      <c r="G182" s="14">
        <f>94+100</f>
        <v>194</v>
      </c>
      <c r="H182" s="15">
        <f t="shared" si="4"/>
        <v>543.1999999999999</v>
      </c>
      <c r="I182" s="16">
        <v>0.5</v>
      </c>
      <c r="J182" s="16">
        <f t="shared" si="5"/>
        <v>97</v>
      </c>
      <c r="K182" s="19" t="s">
        <v>18</v>
      </c>
      <c r="U182" s="2"/>
    </row>
    <row r="183" spans="1:21" s="1" customFormat="1" ht="12.75">
      <c r="A183" s="11">
        <v>1635</v>
      </c>
      <c r="B183" s="14" t="s">
        <v>343</v>
      </c>
      <c r="C183" s="12" t="s">
        <v>233</v>
      </c>
      <c r="D183" s="12" t="s">
        <v>311</v>
      </c>
      <c r="E183" s="12" t="s">
        <v>312</v>
      </c>
      <c r="F183" s="20">
        <v>0.65</v>
      </c>
      <c r="G183" s="14">
        <v>14</v>
      </c>
      <c r="H183" s="15">
        <f t="shared" si="4"/>
        <v>9.1</v>
      </c>
      <c r="I183" s="16">
        <v>0.065</v>
      </c>
      <c r="J183" s="16">
        <f t="shared" si="5"/>
        <v>0.91</v>
      </c>
      <c r="K183" s="19" t="s">
        <v>18</v>
      </c>
      <c r="U183" s="2"/>
    </row>
    <row r="184" spans="1:21" s="1" customFormat="1" ht="12.75">
      <c r="A184" s="11">
        <v>1683</v>
      </c>
      <c r="B184" s="14" t="s">
        <v>344</v>
      </c>
      <c r="C184" s="12" t="s">
        <v>233</v>
      </c>
      <c r="D184" s="12" t="s">
        <v>234</v>
      </c>
      <c r="E184" s="12" t="s">
        <v>235</v>
      </c>
      <c r="F184" s="20">
        <v>0.8</v>
      </c>
      <c r="G184" s="14">
        <v>1</v>
      </c>
      <c r="H184" s="15">
        <f t="shared" si="4"/>
        <v>0.8</v>
      </c>
      <c r="I184" s="16">
        <v>0.08</v>
      </c>
      <c r="J184" s="16">
        <f t="shared" si="5"/>
        <v>0.08</v>
      </c>
      <c r="K184" s="19" t="s">
        <v>18</v>
      </c>
      <c r="U184" s="2"/>
    </row>
    <row r="185" spans="1:21" s="1" customFormat="1" ht="12.75">
      <c r="A185" s="11">
        <v>1685</v>
      </c>
      <c r="B185" s="14" t="s">
        <v>345</v>
      </c>
      <c r="C185" s="12" t="s">
        <v>233</v>
      </c>
      <c r="D185" s="12" t="s">
        <v>234</v>
      </c>
      <c r="E185" s="12" t="s">
        <v>235</v>
      </c>
      <c r="F185" s="20">
        <v>0.8</v>
      </c>
      <c r="G185" s="14">
        <v>1</v>
      </c>
      <c r="H185" s="15">
        <f t="shared" si="4"/>
        <v>0.8</v>
      </c>
      <c r="I185" s="16">
        <v>0.08</v>
      </c>
      <c r="J185" s="16">
        <f t="shared" si="5"/>
        <v>0.08</v>
      </c>
      <c r="K185" s="19" t="s">
        <v>18</v>
      </c>
      <c r="U185" s="2"/>
    </row>
    <row r="186" spans="1:21" s="1" customFormat="1" ht="12.75">
      <c r="A186" s="11">
        <v>1686</v>
      </c>
      <c r="B186" s="14" t="s">
        <v>346</v>
      </c>
      <c r="C186" s="12" t="s">
        <v>233</v>
      </c>
      <c r="D186" s="12" t="s">
        <v>234</v>
      </c>
      <c r="E186" s="12" t="s">
        <v>235</v>
      </c>
      <c r="F186" s="20">
        <v>0.8</v>
      </c>
      <c r="G186" s="14">
        <v>1</v>
      </c>
      <c r="H186" s="15">
        <f t="shared" si="4"/>
        <v>0.8</v>
      </c>
      <c r="I186" s="16">
        <v>0.08</v>
      </c>
      <c r="J186" s="16">
        <f t="shared" si="5"/>
        <v>0.08</v>
      </c>
      <c r="K186" s="19" t="s">
        <v>18</v>
      </c>
      <c r="U186" s="2"/>
    </row>
    <row r="187" spans="1:21" s="1" customFormat="1" ht="12.75">
      <c r="A187" s="11">
        <v>1687</v>
      </c>
      <c r="B187" s="14" t="s">
        <v>347</v>
      </c>
      <c r="C187" s="12" t="s">
        <v>233</v>
      </c>
      <c r="D187" s="12" t="s">
        <v>234</v>
      </c>
      <c r="E187" s="12" t="s">
        <v>235</v>
      </c>
      <c r="F187" s="20">
        <v>0.8</v>
      </c>
      <c r="G187" s="14">
        <v>1</v>
      </c>
      <c r="H187" s="15">
        <f t="shared" si="4"/>
        <v>0.8</v>
      </c>
      <c r="I187" s="16">
        <v>0.08</v>
      </c>
      <c r="J187" s="16">
        <f t="shared" si="5"/>
        <v>0.08</v>
      </c>
      <c r="K187" s="19" t="s">
        <v>18</v>
      </c>
      <c r="U187" s="2"/>
    </row>
    <row r="188" spans="1:21" s="1" customFormat="1" ht="25.5">
      <c r="A188" s="11">
        <v>1698</v>
      </c>
      <c r="B188" s="14" t="s">
        <v>348</v>
      </c>
      <c r="C188" s="12" t="s">
        <v>233</v>
      </c>
      <c r="D188" s="12" t="s">
        <v>234</v>
      </c>
      <c r="E188" s="12" t="s">
        <v>340</v>
      </c>
      <c r="F188" s="20">
        <v>1.1</v>
      </c>
      <c r="G188" s="14">
        <v>24</v>
      </c>
      <c r="H188" s="15">
        <f t="shared" si="4"/>
        <v>26.400000000000002</v>
      </c>
      <c r="I188" s="16">
        <v>0.11</v>
      </c>
      <c r="J188" s="16">
        <f t="shared" si="5"/>
        <v>2.64</v>
      </c>
      <c r="K188" s="19" t="s">
        <v>18</v>
      </c>
      <c r="U188" s="2"/>
    </row>
    <row r="189" spans="1:21" s="1" customFormat="1" ht="25.5">
      <c r="A189" s="11">
        <v>1699</v>
      </c>
      <c r="B189" s="14" t="s">
        <v>349</v>
      </c>
      <c r="C189" s="12" t="s">
        <v>233</v>
      </c>
      <c r="D189" s="12" t="s">
        <v>234</v>
      </c>
      <c r="E189" s="12" t="s">
        <v>340</v>
      </c>
      <c r="F189" s="20">
        <v>1.1</v>
      </c>
      <c r="G189" s="14">
        <v>21</v>
      </c>
      <c r="H189" s="15">
        <f t="shared" si="4"/>
        <v>23.1</v>
      </c>
      <c r="I189" s="16">
        <v>0.11</v>
      </c>
      <c r="J189" s="16">
        <f t="shared" si="5"/>
        <v>2.31</v>
      </c>
      <c r="K189" s="19" t="s">
        <v>18</v>
      </c>
      <c r="U189" s="2"/>
    </row>
    <row r="190" spans="1:21" s="1" customFormat="1" ht="12.75">
      <c r="A190" s="11">
        <v>1706</v>
      </c>
      <c r="B190" s="12" t="s">
        <v>350</v>
      </c>
      <c r="C190" s="12" t="s">
        <v>233</v>
      </c>
      <c r="D190" s="12" t="s">
        <v>234</v>
      </c>
      <c r="E190" s="12" t="s">
        <v>351</v>
      </c>
      <c r="F190" s="13">
        <v>2.15</v>
      </c>
      <c r="G190" s="14">
        <v>45</v>
      </c>
      <c r="H190" s="15">
        <f t="shared" si="4"/>
        <v>96.75</v>
      </c>
      <c r="I190" s="16">
        <v>0.215</v>
      </c>
      <c r="J190" s="16">
        <f t="shared" si="5"/>
        <v>9.675</v>
      </c>
      <c r="K190" s="19" t="s">
        <v>18</v>
      </c>
      <c r="U190" s="2"/>
    </row>
    <row r="191" spans="1:21" s="1" customFormat="1" ht="25.5">
      <c r="A191" s="11">
        <v>1708</v>
      </c>
      <c r="B191" s="14" t="s">
        <v>352</v>
      </c>
      <c r="C191" s="12" t="s">
        <v>279</v>
      </c>
      <c r="D191" s="12" t="s">
        <v>353</v>
      </c>
      <c r="E191" s="12" t="s">
        <v>281</v>
      </c>
      <c r="F191" s="20">
        <v>5</v>
      </c>
      <c r="G191" s="14">
        <f>21</f>
        <v>21</v>
      </c>
      <c r="H191" s="15">
        <f t="shared" si="4"/>
        <v>105</v>
      </c>
      <c r="I191" s="16">
        <v>0.5</v>
      </c>
      <c r="J191" s="16">
        <f t="shared" si="5"/>
        <v>10.5</v>
      </c>
      <c r="K191" s="19" t="s">
        <v>18</v>
      </c>
      <c r="U191" s="2"/>
    </row>
    <row r="192" spans="1:21" s="1" customFormat="1" ht="25.5">
      <c r="A192" s="11">
        <v>1710</v>
      </c>
      <c r="B192" s="14" t="s">
        <v>352</v>
      </c>
      <c r="C192" s="12" t="s">
        <v>279</v>
      </c>
      <c r="D192" s="12" t="s">
        <v>353</v>
      </c>
      <c r="E192" s="12" t="s">
        <v>354</v>
      </c>
      <c r="F192" s="20">
        <v>5</v>
      </c>
      <c r="G192" s="14">
        <f>1</f>
        <v>1</v>
      </c>
      <c r="H192" s="15">
        <f t="shared" si="4"/>
        <v>5</v>
      </c>
      <c r="I192" s="16">
        <v>0.5</v>
      </c>
      <c r="J192" s="16">
        <f t="shared" si="5"/>
        <v>0.5</v>
      </c>
      <c r="K192" s="19" t="s">
        <v>18</v>
      </c>
      <c r="U192" s="2"/>
    </row>
    <row r="193" spans="1:21" s="1" customFormat="1" ht="25.5">
      <c r="A193" s="11">
        <v>1714</v>
      </c>
      <c r="B193" s="14" t="s">
        <v>352</v>
      </c>
      <c r="C193" s="12" t="s">
        <v>279</v>
      </c>
      <c r="D193" s="12" t="s">
        <v>353</v>
      </c>
      <c r="E193" s="12" t="s">
        <v>355</v>
      </c>
      <c r="F193" s="20">
        <v>5</v>
      </c>
      <c r="G193" s="14">
        <f>31</f>
        <v>31</v>
      </c>
      <c r="H193" s="15">
        <f t="shared" si="4"/>
        <v>155</v>
      </c>
      <c r="I193" s="16">
        <v>0.5</v>
      </c>
      <c r="J193" s="16">
        <f t="shared" si="5"/>
        <v>15.5</v>
      </c>
      <c r="K193" s="19" t="s">
        <v>18</v>
      </c>
      <c r="U193" s="2"/>
    </row>
    <row r="194" spans="1:21" s="1" customFormat="1" ht="25.5">
      <c r="A194" s="11">
        <v>1717</v>
      </c>
      <c r="B194" s="14" t="s">
        <v>352</v>
      </c>
      <c r="C194" s="12" t="s">
        <v>279</v>
      </c>
      <c r="D194" s="12" t="s">
        <v>353</v>
      </c>
      <c r="E194" s="12" t="s">
        <v>356</v>
      </c>
      <c r="F194" s="20">
        <v>5</v>
      </c>
      <c r="G194" s="14">
        <f>2</f>
        <v>2</v>
      </c>
      <c r="H194" s="15">
        <f t="shared" si="4"/>
        <v>10</v>
      </c>
      <c r="I194" s="16">
        <v>0.5</v>
      </c>
      <c r="J194" s="16">
        <f t="shared" si="5"/>
        <v>1</v>
      </c>
      <c r="K194" s="19" t="s">
        <v>18</v>
      </c>
      <c r="U194" s="2"/>
    </row>
    <row r="195" spans="1:21" s="1" customFormat="1" ht="25.5">
      <c r="A195" s="11">
        <v>1721</v>
      </c>
      <c r="B195" s="14" t="s">
        <v>352</v>
      </c>
      <c r="C195" s="12" t="s">
        <v>279</v>
      </c>
      <c r="D195" s="12" t="s">
        <v>353</v>
      </c>
      <c r="E195" s="12" t="s">
        <v>357</v>
      </c>
      <c r="F195" s="20">
        <v>5</v>
      </c>
      <c r="G195" s="14">
        <v>5</v>
      </c>
      <c r="H195" s="15">
        <f t="shared" si="4"/>
        <v>25</v>
      </c>
      <c r="I195" s="16">
        <v>0.5</v>
      </c>
      <c r="J195" s="16">
        <f t="shared" si="5"/>
        <v>2.5</v>
      </c>
      <c r="K195" s="19" t="s">
        <v>18</v>
      </c>
      <c r="U195" s="2"/>
    </row>
    <row r="196" spans="1:21" s="1" customFormat="1" ht="38.25">
      <c r="A196" s="11">
        <v>1750</v>
      </c>
      <c r="B196" s="14" t="s">
        <v>358</v>
      </c>
      <c r="C196" s="12" t="s">
        <v>279</v>
      </c>
      <c r="D196" s="12" t="s">
        <v>359</v>
      </c>
      <c r="E196" s="12" t="s">
        <v>354</v>
      </c>
      <c r="F196" s="20">
        <v>7</v>
      </c>
      <c r="G196" s="14">
        <f>2-2</f>
        <v>0</v>
      </c>
      <c r="H196" s="15">
        <f aca="true" t="shared" si="6" ref="H196:H259">G196*F196</f>
        <v>0</v>
      </c>
      <c r="I196" s="16">
        <v>0.7</v>
      </c>
      <c r="J196" s="16">
        <f aca="true" t="shared" si="7" ref="J196:J259">G196*I196</f>
        <v>0</v>
      </c>
      <c r="K196" s="19" t="s">
        <v>18</v>
      </c>
      <c r="U196" s="2"/>
    </row>
    <row r="197" spans="1:21" s="1" customFormat="1" ht="38.25">
      <c r="A197" s="11">
        <v>1752</v>
      </c>
      <c r="B197" s="14" t="s">
        <v>358</v>
      </c>
      <c r="C197" s="12" t="s">
        <v>279</v>
      </c>
      <c r="D197" s="12" t="s">
        <v>359</v>
      </c>
      <c r="E197" s="12" t="s">
        <v>357</v>
      </c>
      <c r="F197" s="20">
        <v>7</v>
      </c>
      <c r="G197" s="14">
        <f>1-1</f>
        <v>0</v>
      </c>
      <c r="H197" s="15">
        <f t="shared" si="6"/>
        <v>0</v>
      </c>
      <c r="I197" s="16">
        <v>0.7</v>
      </c>
      <c r="J197" s="16">
        <f t="shared" si="7"/>
        <v>0</v>
      </c>
      <c r="K197" s="19" t="s">
        <v>18</v>
      </c>
      <c r="U197" s="2"/>
    </row>
    <row r="198" spans="1:21" s="1" customFormat="1" ht="38.25">
      <c r="A198" s="11">
        <v>1755</v>
      </c>
      <c r="B198" s="14" t="s">
        <v>360</v>
      </c>
      <c r="C198" s="12" t="s">
        <v>279</v>
      </c>
      <c r="D198" s="12" t="s">
        <v>359</v>
      </c>
      <c r="E198" s="12" t="s">
        <v>281</v>
      </c>
      <c r="F198" s="20">
        <v>6</v>
      </c>
      <c r="G198" s="14">
        <f>12</f>
        <v>12</v>
      </c>
      <c r="H198" s="15">
        <f t="shared" si="6"/>
        <v>72</v>
      </c>
      <c r="I198" s="16">
        <v>0.6</v>
      </c>
      <c r="J198" s="16">
        <f t="shared" si="7"/>
        <v>7.199999999999999</v>
      </c>
      <c r="K198" s="19" t="s">
        <v>18</v>
      </c>
      <c r="U198" s="2"/>
    </row>
    <row r="199" spans="1:21" s="1" customFormat="1" ht="38.25">
      <c r="A199" s="11">
        <v>1756</v>
      </c>
      <c r="B199" s="14" t="s">
        <v>360</v>
      </c>
      <c r="C199" s="12" t="s">
        <v>279</v>
      </c>
      <c r="D199" s="12" t="s">
        <v>359</v>
      </c>
      <c r="E199" s="12" t="s">
        <v>282</v>
      </c>
      <c r="F199" s="20">
        <v>6</v>
      </c>
      <c r="G199" s="14">
        <f>6</f>
        <v>6</v>
      </c>
      <c r="H199" s="15">
        <f t="shared" si="6"/>
        <v>36</v>
      </c>
      <c r="I199" s="16">
        <v>0.6</v>
      </c>
      <c r="J199" s="16">
        <f t="shared" si="7"/>
        <v>3.5999999999999996</v>
      </c>
      <c r="K199" s="19" t="s">
        <v>18</v>
      </c>
      <c r="U199" s="2"/>
    </row>
    <row r="200" spans="1:21" s="1" customFormat="1" ht="38.25">
      <c r="A200" s="11">
        <v>1757</v>
      </c>
      <c r="B200" s="14" t="s">
        <v>360</v>
      </c>
      <c r="C200" s="12" t="s">
        <v>279</v>
      </c>
      <c r="D200" s="12" t="s">
        <v>359</v>
      </c>
      <c r="E200" s="12" t="s">
        <v>286</v>
      </c>
      <c r="F200" s="20">
        <v>6</v>
      </c>
      <c r="G200" s="14">
        <f>9</f>
        <v>9</v>
      </c>
      <c r="H200" s="15">
        <f t="shared" si="6"/>
        <v>54</v>
      </c>
      <c r="I200" s="16">
        <v>0.6</v>
      </c>
      <c r="J200" s="16">
        <f t="shared" si="7"/>
        <v>5.3999999999999995</v>
      </c>
      <c r="K200" s="19" t="s">
        <v>18</v>
      </c>
      <c r="U200" s="2"/>
    </row>
    <row r="201" spans="1:21" s="1" customFormat="1" ht="38.25">
      <c r="A201" s="11">
        <v>1758</v>
      </c>
      <c r="B201" s="14" t="s">
        <v>360</v>
      </c>
      <c r="C201" s="12" t="s">
        <v>279</v>
      </c>
      <c r="D201" s="12" t="s">
        <v>359</v>
      </c>
      <c r="E201" s="12" t="s">
        <v>354</v>
      </c>
      <c r="F201" s="20">
        <v>6</v>
      </c>
      <c r="G201" s="14">
        <f>3</f>
        <v>3</v>
      </c>
      <c r="H201" s="15">
        <f t="shared" si="6"/>
        <v>18</v>
      </c>
      <c r="I201" s="16">
        <v>0.6</v>
      </c>
      <c r="J201" s="16">
        <f t="shared" si="7"/>
        <v>1.7999999999999998</v>
      </c>
      <c r="K201" s="19" t="s">
        <v>18</v>
      </c>
      <c r="U201" s="2"/>
    </row>
    <row r="202" spans="1:21" s="1" customFormat="1" ht="38.25">
      <c r="A202" s="11">
        <v>1759</v>
      </c>
      <c r="B202" s="14" t="s">
        <v>360</v>
      </c>
      <c r="C202" s="12" t="s">
        <v>279</v>
      </c>
      <c r="D202" s="12" t="s">
        <v>359</v>
      </c>
      <c r="E202" s="12" t="s">
        <v>361</v>
      </c>
      <c r="F202" s="20">
        <v>6</v>
      </c>
      <c r="G202" s="14">
        <f>20</f>
        <v>20</v>
      </c>
      <c r="H202" s="15">
        <f t="shared" si="6"/>
        <v>120</v>
      </c>
      <c r="I202" s="16">
        <v>0.6</v>
      </c>
      <c r="J202" s="16">
        <f t="shared" si="7"/>
        <v>12</v>
      </c>
      <c r="K202" s="19" t="s">
        <v>18</v>
      </c>
      <c r="U202" s="2"/>
    </row>
    <row r="203" spans="1:21" s="1" customFormat="1" ht="38.25">
      <c r="A203" s="11">
        <v>1760</v>
      </c>
      <c r="B203" s="14" t="s">
        <v>360</v>
      </c>
      <c r="C203" s="12" t="s">
        <v>279</v>
      </c>
      <c r="D203" s="12" t="s">
        <v>359</v>
      </c>
      <c r="E203" s="12" t="s">
        <v>362</v>
      </c>
      <c r="F203" s="20">
        <v>6</v>
      </c>
      <c r="G203" s="14">
        <f>5</f>
        <v>5</v>
      </c>
      <c r="H203" s="15">
        <f t="shared" si="6"/>
        <v>30</v>
      </c>
      <c r="I203" s="16">
        <v>0.6</v>
      </c>
      <c r="J203" s="16">
        <f t="shared" si="7"/>
        <v>3</v>
      </c>
      <c r="K203" s="19" t="s">
        <v>18</v>
      </c>
      <c r="U203" s="2"/>
    </row>
    <row r="204" spans="1:21" s="1" customFormat="1" ht="38.25">
      <c r="A204" s="11">
        <v>1762</v>
      </c>
      <c r="B204" s="14" t="s">
        <v>360</v>
      </c>
      <c r="C204" s="12" t="s">
        <v>279</v>
      </c>
      <c r="D204" s="12" t="s">
        <v>359</v>
      </c>
      <c r="E204" s="12" t="s">
        <v>363</v>
      </c>
      <c r="F204" s="20">
        <v>6</v>
      </c>
      <c r="G204" s="14">
        <f>15</f>
        <v>15</v>
      </c>
      <c r="H204" s="15">
        <f t="shared" si="6"/>
        <v>90</v>
      </c>
      <c r="I204" s="16">
        <v>0.6</v>
      </c>
      <c r="J204" s="16">
        <f t="shared" si="7"/>
        <v>9</v>
      </c>
      <c r="K204" s="19" t="s">
        <v>18</v>
      </c>
      <c r="U204" s="2"/>
    </row>
    <row r="205" spans="1:21" s="1" customFormat="1" ht="38.25">
      <c r="A205" s="11">
        <v>1765</v>
      </c>
      <c r="B205" s="14" t="s">
        <v>360</v>
      </c>
      <c r="C205" s="12" t="s">
        <v>279</v>
      </c>
      <c r="D205" s="12" t="s">
        <v>359</v>
      </c>
      <c r="E205" s="12" t="s">
        <v>364</v>
      </c>
      <c r="F205" s="20">
        <v>6</v>
      </c>
      <c r="G205" s="14">
        <f>3</f>
        <v>3</v>
      </c>
      <c r="H205" s="15">
        <f t="shared" si="6"/>
        <v>18</v>
      </c>
      <c r="I205" s="16">
        <v>0.6</v>
      </c>
      <c r="J205" s="16">
        <f t="shared" si="7"/>
        <v>1.7999999999999998</v>
      </c>
      <c r="K205" s="19" t="s">
        <v>18</v>
      </c>
      <c r="U205" s="2"/>
    </row>
    <row r="206" spans="1:21" s="1" customFormat="1" ht="12.75">
      <c r="A206" s="11">
        <v>1833</v>
      </c>
      <c r="B206" s="14" t="s">
        <v>365</v>
      </c>
      <c r="C206" s="12" t="s">
        <v>233</v>
      </c>
      <c r="D206" s="12" t="s">
        <v>238</v>
      </c>
      <c r="E206" s="12" t="s">
        <v>366</v>
      </c>
      <c r="F206" s="20">
        <v>1.72</v>
      </c>
      <c r="G206" s="14">
        <v>312</v>
      </c>
      <c r="H206" s="15">
        <f t="shared" si="6"/>
        <v>536.64</v>
      </c>
      <c r="I206" s="16">
        <v>0.16799999999999998</v>
      </c>
      <c r="J206" s="16">
        <f t="shared" si="7"/>
        <v>52.416</v>
      </c>
      <c r="K206" s="19" t="s">
        <v>18</v>
      </c>
      <c r="U206" s="2"/>
    </row>
    <row r="207" spans="1:21" s="1" customFormat="1" ht="12.75">
      <c r="A207" s="11">
        <v>1835</v>
      </c>
      <c r="B207" s="14" t="s">
        <v>367</v>
      </c>
      <c r="C207" s="12" t="s">
        <v>233</v>
      </c>
      <c r="D207" s="12" t="s">
        <v>238</v>
      </c>
      <c r="E207" s="12" t="s">
        <v>366</v>
      </c>
      <c r="F207" s="20">
        <v>1.72</v>
      </c>
      <c r="G207" s="14">
        <f>125</f>
        <v>125</v>
      </c>
      <c r="H207" s="15">
        <f t="shared" si="6"/>
        <v>215</v>
      </c>
      <c r="I207" s="16">
        <v>0.16799999999999998</v>
      </c>
      <c r="J207" s="16">
        <f t="shared" si="7"/>
        <v>20.999999999999996</v>
      </c>
      <c r="K207" s="19" t="s">
        <v>18</v>
      </c>
      <c r="U207" s="2"/>
    </row>
    <row r="208" spans="1:21" s="1" customFormat="1" ht="25.5">
      <c r="A208" s="11">
        <v>1837</v>
      </c>
      <c r="B208" s="14" t="s">
        <v>368</v>
      </c>
      <c r="C208" s="12" t="s">
        <v>233</v>
      </c>
      <c r="D208" s="12" t="s">
        <v>291</v>
      </c>
      <c r="E208" s="12" t="s">
        <v>308</v>
      </c>
      <c r="F208" s="20">
        <v>6</v>
      </c>
      <c r="G208" s="14">
        <f>4</f>
        <v>4</v>
      </c>
      <c r="H208" s="15">
        <f t="shared" si="6"/>
        <v>24</v>
      </c>
      <c r="I208" s="16">
        <v>0.5880000000000001</v>
      </c>
      <c r="J208" s="16">
        <f t="shared" si="7"/>
        <v>2.3520000000000003</v>
      </c>
      <c r="K208" s="19" t="s">
        <v>18</v>
      </c>
      <c r="U208" s="2"/>
    </row>
    <row r="209" spans="1:21" s="1" customFormat="1" ht="25.5">
      <c r="A209" s="11">
        <v>1838</v>
      </c>
      <c r="B209" s="14" t="s">
        <v>369</v>
      </c>
      <c r="C209" s="12" t="s">
        <v>233</v>
      </c>
      <c r="D209" s="12" t="s">
        <v>291</v>
      </c>
      <c r="E209" s="12" t="s">
        <v>308</v>
      </c>
      <c r="F209" s="20">
        <v>6</v>
      </c>
      <c r="G209" s="14">
        <f>5</f>
        <v>5</v>
      </c>
      <c r="H209" s="15">
        <f t="shared" si="6"/>
        <v>30</v>
      </c>
      <c r="I209" s="16">
        <v>0.5880000000000001</v>
      </c>
      <c r="J209" s="16">
        <f t="shared" si="7"/>
        <v>2.9400000000000004</v>
      </c>
      <c r="K209" s="19" t="s">
        <v>18</v>
      </c>
      <c r="U209" s="2"/>
    </row>
    <row r="210" spans="1:21" s="1" customFormat="1" ht="25.5">
      <c r="A210" s="11">
        <v>1839</v>
      </c>
      <c r="B210" s="14" t="s">
        <v>370</v>
      </c>
      <c r="C210" s="12" t="s">
        <v>233</v>
      </c>
      <c r="D210" s="12" t="s">
        <v>291</v>
      </c>
      <c r="E210" s="12" t="s">
        <v>308</v>
      </c>
      <c r="F210" s="20">
        <v>6</v>
      </c>
      <c r="G210" s="14">
        <f>7</f>
        <v>7</v>
      </c>
      <c r="H210" s="15">
        <f t="shared" si="6"/>
        <v>42</v>
      </c>
      <c r="I210" s="16">
        <v>0.5880000000000001</v>
      </c>
      <c r="J210" s="16">
        <f t="shared" si="7"/>
        <v>4.1160000000000005</v>
      </c>
      <c r="K210" s="19" t="s">
        <v>18</v>
      </c>
      <c r="U210" s="2"/>
    </row>
    <row r="211" spans="1:21" s="1" customFormat="1" ht="25.5">
      <c r="A211" s="11">
        <v>1840</v>
      </c>
      <c r="B211" s="14" t="s">
        <v>371</v>
      </c>
      <c r="C211" s="12" t="s">
        <v>233</v>
      </c>
      <c r="D211" s="12" t="s">
        <v>291</v>
      </c>
      <c r="E211" s="12" t="s">
        <v>308</v>
      </c>
      <c r="F211" s="20">
        <v>6</v>
      </c>
      <c r="G211" s="14">
        <f>3</f>
        <v>3</v>
      </c>
      <c r="H211" s="15">
        <f t="shared" si="6"/>
        <v>18</v>
      </c>
      <c r="I211" s="16">
        <v>0.5880000000000001</v>
      </c>
      <c r="J211" s="16">
        <f t="shared" si="7"/>
        <v>1.7640000000000002</v>
      </c>
      <c r="K211" s="19" t="s">
        <v>18</v>
      </c>
      <c r="U211" s="2"/>
    </row>
    <row r="212" spans="1:21" s="1" customFormat="1" ht="25.5">
      <c r="A212" s="11">
        <v>1841</v>
      </c>
      <c r="B212" s="14" t="s">
        <v>372</v>
      </c>
      <c r="C212" s="12" t="s">
        <v>233</v>
      </c>
      <c r="D212" s="12" t="s">
        <v>291</v>
      </c>
      <c r="E212" s="12" t="s">
        <v>308</v>
      </c>
      <c r="F212" s="20">
        <v>6</v>
      </c>
      <c r="G212" s="14">
        <f>6</f>
        <v>6</v>
      </c>
      <c r="H212" s="15">
        <f t="shared" si="6"/>
        <v>36</v>
      </c>
      <c r="I212" s="16">
        <v>0.5880000000000001</v>
      </c>
      <c r="J212" s="16">
        <f t="shared" si="7"/>
        <v>3.5280000000000005</v>
      </c>
      <c r="K212" s="19" t="s">
        <v>18</v>
      </c>
      <c r="U212" s="2"/>
    </row>
    <row r="213" spans="1:21" s="1" customFormat="1" ht="25.5">
      <c r="A213" s="11">
        <v>1842</v>
      </c>
      <c r="B213" s="14" t="s">
        <v>373</v>
      </c>
      <c r="C213" s="12" t="s">
        <v>233</v>
      </c>
      <c r="D213" s="12" t="s">
        <v>291</v>
      </c>
      <c r="E213" s="12" t="s">
        <v>308</v>
      </c>
      <c r="F213" s="20">
        <v>6</v>
      </c>
      <c r="G213" s="14">
        <v>3</v>
      </c>
      <c r="H213" s="15">
        <f t="shared" si="6"/>
        <v>18</v>
      </c>
      <c r="I213" s="16">
        <v>0.5880000000000001</v>
      </c>
      <c r="J213" s="16">
        <f t="shared" si="7"/>
        <v>1.7640000000000002</v>
      </c>
      <c r="K213" s="19" t="s">
        <v>18</v>
      </c>
      <c r="U213" s="2"/>
    </row>
    <row r="214" spans="1:21" s="1" customFormat="1" ht="12.75">
      <c r="A214" s="11">
        <v>1868</v>
      </c>
      <c r="B214" s="23" t="s">
        <v>374</v>
      </c>
      <c r="C214" s="12" t="s">
        <v>233</v>
      </c>
      <c r="D214" s="12"/>
      <c r="E214" s="12"/>
      <c r="F214" s="20">
        <v>14.7</v>
      </c>
      <c r="G214" s="14">
        <v>2</v>
      </c>
      <c r="H214" s="15">
        <f t="shared" si="6"/>
        <v>29.4</v>
      </c>
      <c r="I214" s="16">
        <v>0.732</v>
      </c>
      <c r="J214" s="16">
        <f t="shared" si="7"/>
        <v>1.464</v>
      </c>
      <c r="K214" s="19"/>
      <c r="U214" s="2"/>
    </row>
    <row r="215" spans="1:21" s="1" customFormat="1" ht="25.5">
      <c r="A215" s="11">
        <v>1878</v>
      </c>
      <c r="B215" s="14" t="s">
        <v>375</v>
      </c>
      <c r="C215" s="12" t="s">
        <v>233</v>
      </c>
      <c r="D215" s="12" t="s">
        <v>291</v>
      </c>
      <c r="E215" s="12" t="s">
        <v>308</v>
      </c>
      <c r="F215" s="20">
        <v>18</v>
      </c>
      <c r="G215" s="14">
        <f>1</f>
        <v>1</v>
      </c>
      <c r="H215" s="15">
        <f t="shared" si="6"/>
        <v>18</v>
      </c>
      <c r="I215" s="16">
        <v>0.8960000000000001</v>
      </c>
      <c r="J215" s="16">
        <f t="shared" si="7"/>
        <v>0.8960000000000001</v>
      </c>
      <c r="K215" s="19" t="s">
        <v>18</v>
      </c>
      <c r="U215" s="2"/>
    </row>
    <row r="216" spans="1:21" s="1" customFormat="1" ht="25.5">
      <c r="A216" s="11">
        <v>1879</v>
      </c>
      <c r="B216" s="14" t="s">
        <v>376</v>
      </c>
      <c r="C216" s="12" t="s">
        <v>233</v>
      </c>
      <c r="D216" s="12" t="s">
        <v>291</v>
      </c>
      <c r="E216" s="12" t="s">
        <v>308</v>
      </c>
      <c r="F216" s="13">
        <v>18</v>
      </c>
      <c r="G216" s="14">
        <v>2</v>
      </c>
      <c r="H216" s="15">
        <f t="shared" si="6"/>
        <v>36</v>
      </c>
      <c r="I216" s="16">
        <v>0.8960000000000001</v>
      </c>
      <c r="J216" s="16">
        <f t="shared" si="7"/>
        <v>1.7920000000000003</v>
      </c>
      <c r="K216" s="19" t="s">
        <v>18</v>
      </c>
      <c r="U216" s="2"/>
    </row>
    <row r="217" spans="1:21" s="1" customFormat="1" ht="25.5">
      <c r="A217" s="11">
        <v>1909</v>
      </c>
      <c r="B217" s="14" t="s">
        <v>377</v>
      </c>
      <c r="C217" s="24" t="s">
        <v>233</v>
      </c>
      <c r="D217" s="12" t="s">
        <v>291</v>
      </c>
      <c r="E217" s="24" t="s">
        <v>378</v>
      </c>
      <c r="F217" s="20">
        <v>3.8</v>
      </c>
      <c r="G217" s="14">
        <v>145</v>
      </c>
      <c r="H217" s="15">
        <f t="shared" si="6"/>
        <v>551</v>
      </c>
      <c r="I217" s="16">
        <v>0.38</v>
      </c>
      <c r="J217" s="16">
        <f t="shared" si="7"/>
        <v>55.1</v>
      </c>
      <c r="K217" s="19" t="s">
        <v>18</v>
      </c>
      <c r="U217" s="2"/>
    </row>
    <row r="218" spans="1:21" s="1" customFormat="1" ht="25.5">
      <c r="A218" s="11">
        <v>1910</v>
      </c>
      <c r="B218" s="14" t="s">
        <v>379</v>
      </c>
      <c r="C218" s="24" t="s">
        <v>233</v>
      </c>
      <c r="D218" s="12" t="s">
        <v>291</v>
      </c>
      <c r="E218" s="24" t="s">
        <v>378</v>
      </c>
      <c r="F218" s="20">
        <v>3.8</v>
      </c>
      <c r="G218" s="14">
        <v>131</v>
      </c>
      <c r="H218" s="15">
        <f t="shared" si="6"/>
        <v>497.79999999999995</v>
      </c>
      <c r="I218" s="16">
        <v>0.38</v>
      </c>
      <c r="J218" s="16">
        <f t="shared" si="7"/>
        <v>49.78</v>
      </c>
      <c r="K218" s="19" t="s">
        <v>18</v>
      </c>
      <c r="U218" s="2"/>
    </row>
    <row r="219" spans="1:21" s="1" customFormat="1" ht="25.5">
      <c r="A219" s="11">
        <v>1918</v>
      </c>
      <c r="B219" s="14" t="s">
        <v>380</v>
      </c>
      <c r="C219" s="24" t="s">
        <v>233</v>
      </c>
      <c r="D219" s="12" t="s">
        <v>291</v>
      </c>
      <c r="E219" s="24" t="s">
        <v>378</v>
      </c>
      <c r="F219" s="20">
        <v>3.8</v>
      </c>
      <c r="G219" s="14">
        <f>100+50</f>
        <v>150</v>
      </c>
      <c r="H219" s="15">
        <f t="shared" si="6"/>
        <v>570</v>
      </c>
      <c r="I219" s="16">
        <v>0.38</v>
      </c>
      <c r="J219" s="16">
        <f t="shared" si="7"/>
        <v>57</v>
      </c>
      <c r="K219" s="19"/>
      <c r="U219" s="2"/>
    </row>
    <row r="220" spans="1:21" s="1" customFormat="1" ht="25.5">
      <c r="A220" s="11">
        <v>1919</v>
      </c>
      <c r="B220" s="14" t="s">
        <v>381</v>
      </c>
      <c r="C220" s="24" t="s">
        <v>233</v>
      </c>
      <c r="D220" s="12" t="s">
        <v>291</v>
      </c>
      <c r="E220" s="24" t="s">
        <v>378</v>
      </c>
      <c r="F220" s="20">
        <v>3.8</v>
      </c>
      <c r="G220" s="14">
        <v>144</v>
      </c>
      <c r="H220" s="15">
        <f t="shared" si="6"/>
        <v>547.1999999999999</v>
      </c>
      <c r="I220" s="16">
        <v>0.38</v>
      </c>
      <c r="J220" s="16">
        <f t="shared" si="7"/>
        <v>54.72</v>
      </c>
      <c r="K220" s="19" t="s">
        <v>18</v>
      </c>
      <c r="U220" s="2"/>
    </row>
    <row r="221" spans="1:21" s="1" customFormat="1" ht="25.5">
      <c r="A221" s="11">
        <v>1920</v>
      </c>
      <c r="B221" s="14" t="s">
        <v>382</v>
      </c>
      <c r="C221" s="24" t="s">
        <v>233</v>
      </c>
      <c r="D221" s="12" t="s">
        <v>291</v>
      </c>
      <c r="E221" s="24" t="s">
        <v>378</v>
      </c>
      <c r="F221" s="20">
        <v>3.8</v>
      </c>
      <c r="G221" s="14">
        <v>121</v>
      </c>
      <c r="H221" s="15">
        <f t="shared" si="6"/>
        <v>459.79999999999995</v>
      </c>
      <c r="I221" s="16">
        <v>0.38</v>
      </c>
      <c r="J221" s="16">
        <f t="shared" si="7"/>
        <v>45.980000000000004</v>
      </c>
      <c r="K221" s="19" t="s">
        <v>18</v>
      </c>
      <c r="U221" s="2"/>
    </row>
    <row r="222" spans="1:21" s="1" customFormat="1" ht="25.5">
      <c r="A222" s="11">
        <v>1921</v>
      </c>
      <c r="B222" s="14" t="s">
        <v>383</v>
      </c>
      <c r="C222" s="24" t="s">
        <v>233</v>
      </c>
      <c r="D222" s="12" t="s">
        <v>291</v>
      </c>
      <c r="E222" s="24" t="s">
        <v>378</v>
      </c>
      <c r="F222" s="20">
        <v>3.8</v>
      </c>
      <c r="G222" s="14">
        <f>148-48</f>
        <v>100</v>
      </c>
      <c r="H222" s="15">
        <f t="shared" si="6"/>
        <v>380</v>
      </c>
      <c r="I222" s="16">
        <v>0.38</v>
      </c>
      <c r="J222" s="16">
        <f t="shared" si="7"/>
        <v>38</v>
      </c>
      <c r="K222" s="19" t="s">
        <v>18</v>
      </c>
      <c r="U222" s="2"/>
    </row>
    <row r="223" spans="1:21" s="1" customFormat="1" ht="25.5">
      <c r="A223" s="11">
        <v>1922</v>
      </c>
      <c r="B223" s="14" t="s">
        <v>384</v>
      </c>
      <c r="C223" s="24" t="s">
        <v>233</v>
      </c>
      <c r="D223" s="12" t="s">
        <v>291</v>
      </c>
      <c r="E223" s="24" t="s">
        <v>378</v>
      </c>
      <c r="F223" s="20">
        <v>3.8</v>
      </c>
      <c r="G223" s="14">
        <f>127-79</f>
        <v>48</v>
      </c>
      <c r="H223" s="15">
        <f t="shared" si="6"/>
        <v>182.39999999999998</v>
      </c>
      <c r="I223" s="16">
        <v>0.38</v>
      </c>
      <c r="J223" s="16">
        <f t="shared" si="7"/>
        <v>18.240000000000002</v>
      </c>
      <c r="K223" s="19" t="s">
        <v>18</v>
      </c>
      <c r="U223" s="2"/>
    </row>
    <row r="224" spans="1:21" s="1" customFormat="1" ht="25.5">
      <c r="A224" s="11">
        <v>1923</v>
      </c>
      <c r="B224" s="14" t="s">
        <v>385</v>
      </c>
      <c r="C224" s="24" t="s">
        <v>233</v>
      </c>
      <c r="D224" s="12" t="s">
        <v>291</v>
      </c>
      <c r="E224" s="24" t="s">
        <v>378</v>
      </c>
      <c r="F224" s="20">
        <v>3.8</v>
      </c>
      <c r="G224" s="14">
        <f>144-50</f>
        <v>94</v>
      </c>
      <c r="H224" s="15">
        <f t="shared" si="6"/>
        <v>357.2</v>
      </c>
      <c r="I224" s="16">
        <v>0.38</v>
      </c>
      <c r="J224" s="16">
        <f t="shared" si="7"/>
        <v>35.72</v>
      </c>
      <c r="K224" s="19" t="s">
        <v>18</v>
      </c>
      <c r="U224" s="2"/>
    </row>
    <row r="225" spans="1:21" s="1" customFormat="1" ht="25.5">
      <c r="A225" s="11">
        <v>1924</v>
      </c>
      <c r="B225" s="14" t="s">
        <v>386</v>
      </c>
      <c r="C225" s="24" t="s">
        <v>233</v>
      </c>
      <c r="D225" s="12" t="s">
        <v>291</v>
      </c>
      <c r="E225" s="24" t="s">
        <v>378</v>
      </c>
      <c r="F225" s="20">
        <v>3.8</v>
      </c>
      <c r="G225" s="14">
        <v>144</v>
      </c>
      <c r="H225" s="15">
        <f t="shared" si="6"/>
        <v>547.1999999999999</v>
      </c>
      <c r="I225" s="16">
        <v>0.38</v>
      </c>
      <c r="J225" s="16">
        <f t="shared" si="7"/>
        <v>54.72</v>
      </c>
      <c r="K225" s="19" t="s">
        <v>18</v>
      </c>
      <c r="U225" s="2"/>
    </row>
    <row r="226" spans="1:21" s="1" customFormat="1" ht="25.5">
      <c r="A226" s="11">
        <v>1925</v>
      </c>
      <c r="B226" s="14" t="s">
        <v>387</v>
      </c>
      <c r="C226" s="24" t="s">
        <v>233</v>
      </c>
      <c r="D226" s="12" t="s">
        <v>291</v>
      </c>
      <c r="E226" s="24" t="s">
        <v>378</v>
      </c>
      <c r="F226" s="20">
        <v>3.8</v>
      </c>
      <c r="G226" s="14">
        <v>115</v>
      </c>
      <c r="H226" s="15">
        <f t="shared" si="6"/>
        <v>437</v>
      </c>
      <c r="I226" s="16">
        <v>0.38</v>
      </c>
      <c r="J226" s="16">
        <f t="shared" si="7"/>
        <v>43.7</v>
      </c>
      <c r="K226" s="19" t="s">
        <v>18</v>
      </c>
      <c r="U226" s="2"/>
    </row>
    <row r="227" spans="1:21" s="1" customFormat="1" ht="25.5">
      <c r="A227" s="11">
        <v>1926</v>
      </c>
      <c r="B227" s="14" t="s">
        <v>388</v>
      </c>
      <c r="C227" s="24" t="s">
        <v>233</v>
      </c>
      <c r="D227" s="12" t="s">
        <v>291</v>
      </c>
      <c r="E227" s="24" t="s">
        <v>378</v>
      </c>
      <c r="F227" s="20">
        <v>3.8</v>
      </c>
      <c r="G227" s="14">
        <v>143</v>
      </c>
      <c r="H227" s="15">
        <f t="shared" si="6"/>
        <v>543.4</v>
      </c>
      <c r="I227" s="16">
        <v>0.38</v>
      </c>
      <c r="J227" s="16">
        <f t="shared" si="7"/>
        <v>54.34</v>
      </c>
      <c r="K227" s="19" t="s">
        <v>18</v>
      </c>
      <c r="U227" s="2"/>
    </row>
    <row r="228" spans="1:21" s="1" customFormat="1" ht="25.5">
      <c r="A228" s="11">
        <v>1927</v>
      </c>
      <c r="B228" s="14" t="s">
        <v>389</v>
      </c>
      <c r="C228" s="24" t="s">
        <v>233</v>
      </c>
      <c r="D228" s="12" t="s">
        <v>291</v>
      </c>
      <c r="E228" s="24" t="s">
        <v>378</v>
      </c>
      <c r="F228" s="20">
        <v>3.8</v>
      </c>
      <c r="G228" s="14">
        <v>144</v>
      </c>
      <c r="H228" s="15">
        <f t="shared" si="6"/>
        <v>547.1999999999999</v>
      </c>
      <c r="I228" s="16">
        <v>0.38</v>
      </c>
      <c r="J228" s="16">
        <f t="shared" si="7"/>
        <v>54.72</v>
      </c>
      <c r="K228" s="19" t="s">
        <v>18</v>
      </c>
      <c r="U228" s="2"/>
    </row>
    <row r="229" spans="1:21" s="1" customFormat="1" ht="25.5">
      <c r="A229" s="11">
        <v>1928</v>
      </c>
      <c r="B229" s="14" t="s">
        <v>390</v>
      </c>
      <c r="C229" s="24" t="s">
        <v>233</v>
      </c>
      <c r="D229" s="12" t="s">
        <v>291</v>
      </c>
      <c r="E229" s="24" t="s">
        <v>378</v>
      </c>
      <c r="F229" s="20">
        <v>3.8</v>
      </c>
      <c r="G229" s="14">
        <v>145</v>
      </c>
      <c r="H229" s="15">
        <f t="shared" si="6"/>
        <v>551</v>
      </c>
      <c r="I229" s="16">
        <v>0.38</v>
      </c>
      <c r="J229" s="16">
        <f t="shared" si="7"/>
        <v>55.1</v>
      </c>
      <c r="K229" s="19" t="s">
        <v>18</v>
      </c>
      <c r="U229" s="2"/>
    </row>
    <row r="230" spans="1:21" s="1" customFormat="1" ht="18.75" customHeight="1">
      <c r="A230" s="11">
        <v>1938</v>
      </c>
      <c r="B230" s="14" t="s">
        <v>391</v>
      </c>
      <c r="C230" s="12" t="s">
        <v>279</v>
      </c>
      <c r="D230" s="12" t="s">
        <v>392</v>
      </c>
      <c r="E230" s="12" t="s">
        <v>393</v>
      </c>
      <c r="F230" s="20">
        <v>11.96</v>
      </c>
      <c r="G230" s="14">
        <f>7-2</f>
        <v>5</v>
      </c>
      <c r="H230" s="15">
        <f t="shared" si="6"/>
        <v>59.800000000000004</v>
      </c>
      <c r="I230" s="16">
        <v>0.868</v>
      </c>
      <c r="J230" s="16">
        <f t="shared" si="7"/>
        <v>4.34</v>
      </c>
      <c r="K230" s="19" t="s">
        <v>18</v>
      </c>
      <c r="U230" s="2"/>
    </row>
    <row r="231" spans="1:21" s="1" customFormat="1" ht="25.5">
      <c r="A231" s="11">
        <v>1954</v>
      </c>
      <c r="B231" s="14" t="s">
        <v>394</v>
      </c>
      <c r="C231" s="12" t="s">
        <v>233</v>
      </c>
      <c r="D231" s="12" t="s">
        <v>291</v>
      </c>
      <c r="E231" s="12" t="s">
        <v>395</v>
      </c>
      <c r="F231" s="13">
        <v>1.22</v>
      </c>
      <c r="G231" s="14">
        <f>500+500+500+500+499+250</f>
        <v>2749</v>
      </c>
      <c r="H231" s="15">
        <f t="shared" si="6"/>
        <v>3353.7799999999997</v>
      </c>
      <c r="I231" s="16">
        <v>0.1232</v>
      </c>
      <c r="J231" s="16">
        <f t="shared" si="7"/>
        <v>338.6768</v>
      </c>
      <c r="K231" s="19" t="s">
        <v>18</v>
      </c>
      <c r="U231" s="2"/>
    </row>
    <row r="232" spans="1:21" s="1" customFormat="1" ht="12.75">
      <c r="A232" s="11">
        <v>2001</v>
      </c>
      <c r="B232" s="14" t="s">
        <v>396</v>
      </c>
      <c r="C232" s="12" t="s">
        <v>233</v>
      </c>
      <c r="D232" s="12" t="s">
        <v>238</v>
      </c>
      <c r="E232" s="12" t="s">
        <v>366</v>
      </c>
      <c r="F232" s="20">
        <v>1.72</v>
      </c>
      <c r="G232" s="14">
        <f>205</f>
        <v>205</v>
      </c>
      <c r="H232" s="15">
        <f t="shared" si="6"/>
        <v>352.6</v>
      </c>
      <c r="I232" s="16">
        <v>0.16799999999999998</v>
      </c>
      <c r="J232" s="16">
        <f t="shared" si="7"/>
        <v>34.44</v>
      </c>
      <c r="K232" s="19" t="s">
        <v>18</v>
      </c>
      <c r="U232" s="2"/>
    </row>
    <row r="233" spans="1:21" s="1" customFormat="1" ht="12.75">
      <c r="A233" s="11">
        <v>2002</v>
      </c>
      <c r="B233" s="14" t="s">
        <v>397</v>
      </c>
      <c r="C233" s="12" t="s">
        <v>233</v>
      </c>
      <c r="D233" s="12" t="s">
        <v>238</v>
      </c>
      <c r="E233" s="12" t="s">
        <v>366</v>
      </c>
      <c r="F233" s="20">
        <v>1.72</v>
      </c>
      <c r="G233" s="14">
        <f>625+295</f>
        <v>920</v>
      </c>
      <c r="H233" s="15">
        <f t="shared" si="6"/>
        <v>1582.3999999999999</v>
      </c>
      <c r="I233" s="16">
        <v>0.16799999999999998</v>
      </c>
      <c r="J233" s="16">
        <f t="shared" si="7"/>
        <v>154.55999999999997</v>
      </c>
      <c r="K233" s="19" t="s">
        <v>18</v>
      </c>
      <c r="U233" s="2"/>
    </row>
    <row r="234" spans="1:21" s="1" customFormat="1" ht="12.75">
      <c r="A234" s="11">
        <v>2003</v>
      </c>
      <c r="B234" s="14" t="s">
        <v>398</v>
      </c>
      <c r="C234" s="12" t="s">
        <v>233</v>
      </c>
      <c r="D234" s="12" t="s">
        <v>238</v>
      </c>
      <c r="E234" s="12" t="s">
        <v>366</v>
      </c>
      <c r="F234" s="20">
        <v>1.72</v>
      </c>
      <c r="G234" s="14">
        <f>187</f>
        <v>187</v>
      </c>
      <c r="H234" s="15">
        <f t="shared" si="6"/>
        <v>321.64</v>
      </c>
      <c r="I234" s="16">
        <v>0.16799999999999998</v>
      </c>
      <c r="J234" s="16">
        <f t="shared" si="7"/>
        <v>31.415999999999997</v>
      </c>
      <c r="K234" s="19" t="s">
        <v>18</v>
      </c>
      <c r="U234" s="2"/>
    </row>
    <row r="235" spans="1:21" s="1" customFormat="1" ht="12.75">
      <c r="A235" s="11">
        <v>2004</v>
      </c>
      <c r="B235" s="14" t="s">
        <v>399</v>
      </c>
      <c r="C235" s="12" t="s">
        <v>233</v>
      </c>
      <c r="D235" s="12" t="s">
        <v>238</v>
      </c>
      <c r="E235" s="12" t="s">
        <v>366</v>
      </c>
      <c r="F235" s="20">
        <v>1.72</v>
      </c>
      <c r="G235" s="14">
        <v>424</v>
      </c>
      <c r="H235" s="15">
        <f t="shared" si="6"/>
        <v>729.28</v>
      </c>
      <c r="I235" s="16">
        <v>0.16799999999999998</v>
      </c>
      <c r="J235" s="16">
        <f t="shared" si="7"/>
        <v>71.232</v>
      </c>
      <c r="K235" s="19" t="s">
        <v>18</v>
      </c>
      <c r="U235" s="2"/>
    </row>
    <row r="236" spans="1:21" s="1" customFormat="1" ht="12.75">
      <c r="A236" s="11">
        <v>2005</v>
      </c>
      <c r="B236" s="14" t="s">
        <v>400</v>
      </c>
      <c r="C236" s="12" t="s">
        <v>233</v>
      </c>
      <c r="D236" s="12" t="s">
        <v>238</v>
      </c>
      <c r="E236" s="12" t="s">
        <v>366</v>
      </c>
      <c r="F236" s="20">
        <v>1.72</v>
      </c>
      <c r="G236" s="14">
        <f>305-10</f>
        <v>295</v>
      </c>
      <c r="H236" s="15">
        <f t="shared" si="6"/>
        <v>507.4</v>
      </c>
      <c r="I236" s="16">
        <v>0.16799999999999998</v>
      </c>
      <c r="J236" s="16">
        <f t="shared" si="7"/>
        <v>49.559999999999995</v>
      </c>
      <c r="K236" s="19" t="s">
        <v>18</v>
      </c>
      <c r="U236" s="2"/>
    </row>
    <row r="237" spans="1:21" s="1" customFormat="1" ht="12.75">
      <c r="A237" s="11">
        <v>2006</v>
      </c>
      <c r="B237" s="14" t="s">
        <v>401</v>
      </c>
      <c r="C237" s="12" t="s">
        <v>233</v>
      </c>
      <c r="D237" s="12" t="s">
        <v>238</v>
      </c>
      <c r="E237" s="12" t="s">
        <v>366</v>
      </c>
      <c r="F237" s="20">
        <v>1.72</v>
      </c>
      <c r="G237" s="14">
        <f>298</f>
        <v>298</v>
      </c>
      <c r="H237" s="15">
        <f t="shared" si="6"/>
        <v>512.56</v>
      </c>
      <c r="I237" s="16">
        <v>0.16799999999999998</v>
      </c>
      <c r="J237" s="16">
        <f t="shared" si="7"/>
        <v>50.06399999999999</v>
      </c>
      <c r="K237" s="19" t="s">
        <v>18</v>
      </c>
      <c r="U237" s="2"/>
    </row>
    <row r="238" spans="1:21" s="1" customFormat="1" ht="12.75">
      <c r="A238" s="11">
        <v>2007</v>
      </c>
      <c r="B238" s="14" t="s">
        <v>402</v>
      </c>
      <c r="C238" s="12" t="s">
        <v>233</v>
      </c>
      <c r="D238" s="12" t="s">
        <v>238</v>
      </c>
      <c r="E238" s="12" t="s">
        <v>366</v>
      </c>
      <c r="F238" s="20">
        <v>1.72</v>
      </c>
      <c r="G238" s="14">
        <f>624</f>
        <v>624</v>
      </c>
      <c r="H238" s="15">
        <f t="shared" si="6"/>
        <v>1073.28</v>
      </c>
      <c r="I238" s="16">
        <v>0.16799999999999998</v>
      </c>
      <c r="J238" s="16">
        <f t="shared" si="7"/>
        <v>104.832</v>
      </c>
      <c r="K238" s="19" t="s">
        <v>18</v>
      </c>
      <c r="U238" s="2"/>
    </row>
    <row r="239" spans="1:21" s="1" customFormat="1" ht="25.5">
      <c r="A239" s="11">
        <v>2020</v>
      </c>
      <c r="B239" s="14" t="s">
        <v>403</v>
      </c>
      <c r="C239" s="12" t="s">
        <v>279</v>
      </c>
      <c r="D239" s="12" t="s">
        <v>404</v>
      </c>
      <c r="E239" s="12" t="s">
        <v>281</v>
      </c>
      <c r="F239" s="20">
        <v>6.88</v>
      </c>
      <c r="G239" s="14">
        <f>9</f>
        <v>9</v>
      </c>
      <c r="H239" s="15">
        <f t="shared" si="6"/>
        <v>61.92</v>
      </c>
      <c r="I239" s="16">
        <v>0.616</v>
      </c>
      <c r="J239" s="16">
        <f t="shared" si="7"/>
        <v>5.544</v>
      </c>
      <c r="K239" s="19" t="s">
        <v>18</v>
      </c>
      <c r="U239" s="2"/>
    </row>
    <row r="240" spans="1:21" s="1" customFormat="1" ht="25.5">
      <c r="A240" s="11">
        <v>2021</v>
      </c>
      <c r="B240" s="14" t="s">
        <v>405</v>
      </c>
      <c r="C240" s="12" t="s">
        <v>279</v>
      </c>
      <c r="D240" s="12" t="s">
        <v>404</v>
      </c>
      <c r="E240" s="12" t="s">
        <v>281</v>
      </c>
      <c r="F240" s="20">
        <v>6.88</v>
      </c>
      <c r="G240" s="14">
        <f>20</f>
        <v>20</v>
      </c>
      <c r="H240" s="15">
        <f t="shared" si="6"/>
        <v>137.6</v>
      </c>
      <c r="I240" s="16">
        <v>0.616</v>
      </c>
      <c r="J240" s="16">
        <f t="shared" si="7"/>
        <v>12.32</v>
      </c>
      <c r="K240" s="19" t="s">
        <v>18</v>
      </c>
      <c r="U240" s="2"/>
    </row>
    <row r="241" spans="1:21" s="1" customFormat="1" ht="25.5">
      <c r="A241" s="11">
        <v>2022</v>
      </c>
      <c r="B241" s="14" t="s">
        <v>406</v>
      </c>
      <c r="C241" s="12" t="s">
        <v>279</v>
      </c>
      <c r="D241" s="12" t="s">
        <v>404</v>
      </c>
      <c r="E241" s="12" t="s">
        <v>281</v>
      </c>
      <c r="F241" s="20">
        <v>6.88</v>
      </c>
      <c r="G241" s="14">
        <f>22-2</f>
        <v>20</v>
      </c>
      <c r="H241" s="15">
        <f t="shared" si="6"/>
        <v>137.6</v>
      </c>
      <c r="I241" s="16">
        <v>0.616</v>
      </c>
      <c r="J241" s="16">
        <f t="shared" si="7"/>
        <v>12.32</v>
      </c>
      <c r="K241" s="19" t="s">
        <v>18</v>
      </c>
      <c r="U241" s="2"/>
    </row>
    <row r="242" spans="1:21" s="1" customFormat="1" ht="25.5">
      <c r="A242" s="11">
        <v>2023</v>
      </c>
      <c r="B242" s="14" t="s">
        <v>407</v>
      </c>
      <c r="C242" s="12" t="s">
        <v>279</v>
      </c>
      <c r="D242" s="12" t="s">
        <v>404</v>
      </c>
      <c r="E242" s="12" t="s">
        <v>281</v>
      </c>
      <c r="F242" s="20">
        <v>2.29</v>
      </c>
      <c r="G242" s="14">
        <f>14</f>
        <v>14</v>
      </c>
      <c r="H242" s="15">
        <f t="shared" si="6"/>
        <v>32.06</v>
      </c>
      <c r="I242" s="16">
        <v>0.229</v>
      </c>
      <c r="J242" s="16">
        <f t="shared" si="7"/>
        <v>3.206</v>
      </c>
      <c r="K242" s="19" t="s">
        <v>18</v>
      </c>
      <c r="U242" s="2"/>
    </row>
    <row r="243" spans="1:21" s="1" customFormat="1" ht="25.5">
      <c r="A243" s="11">
        <v>2024</v>
      </c>
      <c r="B243" s="14" t="s">
        <v>408</v>
      </c>
      <c r="C243" s="12" t="s">
        <v>279</v>
      </c>
      <c r="D243" s="12" t="s">
        <v>404</v>
      </c>
      <c r="E243" s="12" t="s">
        <v>281</v>
      </c>
      <c r="F243" s="20">
        <v>2.29</v>
      </c>
      <c r="G243" s="14">
        <v>20</v>
      </c>
      <c r="H243" s="15">
        <f t="shared" si="6"/>
        <v>45.8</v>
      </c>
      <c r="I243" s="16">
        <v>0.229</v>
      </c>
      <c r="J243" s="16">
        <f t="shared" si="7"/>
        <v>4.58</v>
      </c>
      <c r="K243" s="19" t="s">
        <v>18</v>
      </c>
      <c r="U243" s="2"/>
    </row>
    <row r="244" spans="1:21" s="1" customFormat="1" ht="25.5">
      <c r="A244" s="11">
        <v>2025</v>
      </c>
      <c r="B244" s="14" t="s">
        <v>408</v>
      </c>
      <c r="C244" s="12" t="s">
        <v>279</v>
      </c>
      <c r="D244" s="12" t="s">
        <v>404</v>
      </c>
      <c r="E244" s="12" t="s">
        <v>282</v>
      </c>
      <c r="F244" s="20">
        <v>2.29</v>
      </c>
      <c r="G244" s="14">
        <f>17</f>
        <v>17</v>
      </c>
      <c r="H244" s="15">
        <f t="shared" si="6"/>
        <v>38.93</v>
      </c>
      <c r="I244" s="16">
        <v>0.229</v>
      </c>
      <c r="J244" s="16">
        <f t="shared" si="7"/>
        <v>3.8930000000000002</v>
      </c>
      <c r="K244" s="19" t="s">
        <v>18</v>
      </c>
      <c r="U244" s="2"/>
    </row>
    <row r="245" spans="1:21" s="1" customFormat="1" ht="25.5">
      <c r="A245" s="11">
        <v>2026</v>
      </c>
      <c r="B245" s="14" t="s">
        <v>409</v>
      </c>
      <c r="C245" s="12" t="s">
        <v>279</v>
      </c>
      <c r="D245" s="12" t="s">
        <v>404</v>
      </c>
      <c r="E245" s="12" t="s">
        <v>281</v>
      </c>
      <c r="F245" s="20">
        <v>2.29</v>
      </c>
      <c r="G245" s="14">
        <f>14</f>
        <v>14</v>
      </c>
      <c r="H245" s="15">
        <f t="shared" si="6"/>
        <v>32.06</v>
      </c>
      <c r="I245" s="16">
        <v>0.229</v>
      </c>
      <c r="J245" s="16">
        <f t="shared" si="7"/>
        <v>3.206</v>
      </c>
      <c r="K245" s="19" t="s">
        <v>18</v>
      </c>
      <c r="U245" s="2"/>
    </row>
    <row r="246" spans="1:21" s="1" customFormat="1" ht="25.5">
      <c r="A246" s="11">
        <v>2027</v>
      </c>
      <c r="B246" s="14" t="s">
        <v>409</v>
      </c>
      <c r="C246" s="12" t="s">
        <v>279</v>
      </c>
      <c r="D246" s="12" t="s">
        <v>404</v>
      </c>
      <c r="E246" s="12" t="s">
        <v>282</v>
      </c>
      <c r="F246" s="20">
        <v>2.29</v>
      </c>
      <c r="G246" s="14">
        <f>19</f>
        <v>19</v>
      </c>
      <c r="H246" s="15">
        <f t="shared" si="6"/>
        <v>43.51</v>
      </c>
      <c r="I246" s="16">
        <v>0.229</v>
      </c>
      <c r="J246" s="16">
        <f t="shared" si="7"/>
        <v>4.351</v>
      </c>
      <c r="K246" s="19" t="s">
        <v>18</v>
      </c>
      <c r="U246" s="2"/>
    </row>
    <row r="247" spans="1:21" s="1" customFormat="1" ht="25.5">
      <c r="A247" s="11">
        <v>2028</v>
      </c>
      <c r="B247" s="14" t="s">
        <v>410</v>
      </c>
      <c r="C247" s="12" t="s">
        <v>279</v>
      </c>
      <c r="D247" s="12" t="s">
        <v>404</v>
      </c>
      <c r="E247" s="12" t="s">
        <v>281</v>
      </c>
      <c r="F247" s="20">
        <v>2.29</v>
      </c>
      <c r="G247" s="14">
        <f>14</f>
        <v>14</v>
      </c>
      <c r="H247" s="15">
        <f t="shared" si="6"/>
        <v>32.06</v>
      </c>
      <c r="I247" s="16">
        <v>0.229</v>
      </c>
      <c r="J247" s="16">
        <f t="shared" si="7"/>
        <v>3.206</v>
      </c>
      <c r="K247" s="19" t="s">
        <v>18</v>
      </c>
      <c r="U247" s="2"/>
    </row>
    <row r="248" spans="1:21" s="1" customFormat="1" ht="25.5">
      <c r="A248" s="11">
        <v>2029</v>
      </c>
      <c r="B248" s="14" t="s">
        <v>410</v>
      </c>
      <c r="C248" s="12" t="s">
        <v>279</v>
      </c>
      <c r="D248" s="12" t="s">
        <v>404</v>
      </c>
      <c r="E248" s="12" t="s">
        <v>282</v>
      </c>
      <c r="F248" s="20">
        <v>2.29</v>
      </c>
      <c r="G248" s="14">
        <f>14</f>
        <v>14</v>
      </c>
      <c r="H248" s="15">
        <f t="shared" si="6"/>
        <v>32.06</v>
      </c>
      <c r="I248" s="16">
        <v>0.229</v>
      </c>
      <c r="J248" s="16">
        <f t="shared" si="7"/>
        <v>3.206</v>
      </c>
      <c r="K248" s="19" t="s">
        <v>18</v>
      </c>
      <c r="U248" s="2"/>
    </row>
    <row r="249" spans="1:21" s="1" customFormat="1" ht="25.5">
      <c r="A249" s="11">
        <v>2030</v>
      </c>
      <c r="B249" s="14" t="s">
        <v>411</v>
      </c>
      <c r="C249" s="12" t="s">
        <v>279</v>
      </c>
      <c r="D249" s="12" t="s">
        <v>404</v>
      </c>
      <c r="E249" s="12" t="s">
        <v>281</v>
      </c>
      <c r="F249" s="20">
        <v>2.29</v>
      </c>
      <c r="G249" s="14">
        <f>10</f>
        <v>10</v>
      </c>
      <c r="H249" s="15">
        <f t="shared" si="6"/>
        <v>22.9</v>
      </c>
      <c r="I249" s="16">
        <v>0.229</v>
      </c>
      <c r="J249" s="16">
        <f t="shared" si="7"/>
        <v>2.29</v>
      </c>
      <c r="K249" s="19" t="s">
        <v>18</v>
      </c>
      <c r="U249" s="2"/>
    </row>
    <row r="250" spans="1:21" s="1" customFormat="1" ht="25.5">
      <c r="A250" s="11">
        <v>2031</v>
      </c>
      <c r="B250" s="14" t="s">
        <v>411</v>
      </c>
      <c r="C250" s="12" t="s">
        <v>279</v>
      </c>
      <c r="D250" s="12" t="s">
        <v>404</v>
      </c>
      <c r="E250" s="12" t="s">
        <v>282</v>
      </c>
      <c r="F250" s="20">
        <v>2.29</v>
      </c>
      <c r="G250" s="14">
        <f>15</f>
        <v>15</v>
      </c>
      <c r="H250" s="15">
        <f t="shared" si="6"/>
        <v>34.35</v>
      </c>
      <c r="I250" s="16">
        <v>0.229</v>
      </c>
      <c r="J250" s="16">
        <f t="shared" si="7"/>
        <v>3.435</v>
      </c>
      <c r="K250" s="19" t="s">
        <v>18</v>
      </c>
      <c r="U250" s="2"/>
    </row>
    <row r="251" spans="1:21" s="1" customFormat="1" ht="12.75">
      <c r="A251" s="11">
        <v>2078</v>
      </c>
      <c r="B251" s="14" t="s">
        <v>412</v>
      </c>
      <c r="C251" s="12" t="s">
        <v>279</v>
      </c>
      <c r="D251" s="12" t="s">
        <v>392</v>
      </c>
      <c r="E251" s="12" t="s">
        <v>393</v>
      </c>
      <c r="F251" s="20">
        <v>43.06</v>
      </c>
      <c r="G251" s="14">
        <f>2-2</f>
        <v>0</v>
      </c>
      <c r="H251" s="15">
        <f t="shared" si="6"/>
        <v>0</v>
      </c>
      <c r="I251" s="16">
        <v>3.22</v>
      </c>
      <c r="J251" s="16">
        <f t="shared" si="7"/>
        <v>0</v>
      </c>
      <c r="K251" s="19" t="s">
        <v>18</v>
      </c>
      <c r="U251" s="2"/>
    </row>
    <row r="252" spans="1:21" s="1" customFormat="1" ht="25.5">
      <c r="A252" s="11">
        <v>2097</v>
      </c>
      <c r="B252" s="14" t="s">
        <v>413</v>
      </c>
      <c r="C252" s="14" t="s">
        <v>233</v>
      </c>
      <c r="D252" s="12" t="s">
        <v>291</v>
      </c>
      <c r="E252" s="24" t="s">
        <v>414</v>
      </c>
      <c r="F252" s="20">
        <v>20.5</v>
      </c>
      <c r="G252" s="14">
        <v>4</v>
      </c>
      <c r="H252" s="15">
        <f t="shared" si="6"/>
        <v>82</v>
      </c>
      <c r="I252" s="16">
        <v>1.932</v>
      </c>
      <c r="J252" s="16">
        <f t="shared" si="7"/>
        <v>7.728</v>
      </c>
      <c r="K252" s="19" t="s">
        <v>18</v>
      </c>
      <c r="U252" s="2"/>
    </row>
    <row r="253" spans="1:21" s="1" customFormat="1" ht="25.5">
      <c r="A253" s="11">
        <v>2099</v>
      </c>
      <c r="B253" s="14" t="s">
        <v>415</v>
      </c>
      <c r="C253" s="14" t="s">
        <v>233</v>
      </c>
      <c r="D253" s="12" t="s">
        <v>291</v>
      </c>
      <c r="E253" s="24" t="s">
        <v>414</v>
      </c>
      <c r="F253" s="20">
        <v>20.5</v>
      </c>
      <c r="G253" s="14">
        <v>2</v>
      </c>
      <c r="H253" s="15">
        <f t="shared" si="6"/>
        <v>41</v>
      </c>
      <c r="I253" s="16">
        <v>1.932</v>
      </c>
      <c r="J253" s="16">
        <f t="shared" si="7"/>
        <v>3.864</v>
      </c>
      <c r="K253" s="19" t="s">
        <v>18</v>
      </c>
      <c r="U253" s="2"/>
    </row>
    <row r="254" spans="1:21" s="1" customFormat="1" ht="25.5">
      <c r="A254" s="11">
        <v>2101</v>
      </c>
      <c r="B254" s="14" t="s">
        <v>416</v>
      </c>
      <c r="C254" s="14" t="s">
        <v>233</v>
      </c>
      <c r="D254" s="12" t="s">
        <v>291</v>
      </c>
      <c r="E254" s="24" t="s">
        <v>414</v>
      </c>
      <c r="F254" s="20">
        <v>16.5</v>
      </c>
      <c r="G254" s="14">
        <v>1</v>
      </c>
      <c r="H254" s="15">
        <f t="shared" si="6"/>
        <v>16.5</v>
      </c>
      <c r="I254" s="16">
        <v>1.26</v>
      </c>
      <c r="J254" s="16">
        <f t="shared" si="7"/>
        <v>1.26</v>
      </c>
      <c r="K254" s="19" t="s">
        <v>18</v>
      </c>
      <c r="U254" s="2"/>
    </row>
    <row r="255" spans="1:21" s="1" customFormat="1" ht="25.5">
      <c r="A255" s="11">
        <v>2103</v>
      </c>
      <c r="B255" s="14" t="s">
        <v>417</v>
      </c>
      <c r="C255" s="14" t="s">
        <v>233</v>
      </c>
      <c r="D255" s="12" t="s">
        <v>291</v>
      </c>
      <c r="E255" s="24" t="s">
        <v>414</v>
      </c>
      <c r="F255" s="20">
        <v>17.5</v>
      </c>
      <c r="G255" s="14">
        <v>2</v>
      </c>
      <c r="H255" s="15">
        <f t="shared" si="6"/>
        <v>35</v>
      </c>
      <c r="I255" s="16">
        <v>1.54</v>
      </c>
      <c r="J255" s="16">
        <f t="shared" si="7"/>
        <v>3.08</v>
      </c>
      <c r="K255" s="19" t="s">
        <v>18</v>
      </c>
      <c r="U255" s="2"/>
    </row>
    <row r="256" spans="1:21" s="1" customFormat="1" ht="25.5">
      <c r="A256" s="11">
        <v>2104</v>
      </c>
      <c r="B256" s="14" t="s">
        <v>418</v>
      </c>
      <c r="C256" s="14" t="s">
        <v>233</v>
      </c>
      <c r="D256" s="12" t="s">
        <v>291</v>
      </c>
      <c r="E256" s="24" t="s">
        <v>414</v>
      </c>
      <c r="F256" s="20">
        <v>17.5</v>
      </c>
      <c r="G256" s="14">
        <v>4</v>
      </c>
      <c r="H256" s="15">
        <f t="shared" si="6"/>
        <v>70</v>
      </c>
      <c r="I256" s="16">
        <v>1.54</v>
      </c>
      <c r="J256" s="16">
        <f t="shared" si="7"/>
        <v>6.16</v>
      </c>
      <c r="K256" s="19" t="s">
        <v>18</v>
      </c>
      <c r="U256" s="2"/>
    </row>
    <row r="257" spans="1:21" s="1" customFormat="1" ht="17.25" customHeight="1">
      <c r="A257" s="11">
        <v>2107</v>
      </c>
      <c r="B257" s="14" t="s">
        <v>419</v>
      </c>
      <c r="C257" s="14" t="s">
        <v>233</v>
      </c>
      <c r="D257" s="12" t="s">
        <v>291</v>
      </c>
      <c r="E257" s="24" t="s">
        <v>414</v>
      </c>
      <c r="F257" s="20">
        <v>16.5</v>
      </c>
      <c r="G257" s="14">
        <v>2</v>
      </c>
      <c r="H257" s="15">
        <f t="shared" si="6"/>
        <v>33</v>
      </c>
      <c r="I257" s="16">
        <v>1.26</v>
      </c>
      <c r="J257" s="16">
        <f t="shared" si="7"/>
        <v>2.52</v>
      </c>
      <c r="K257" s="19" t="s">
        <v>18</v>
      </c>
      <c r="U257" s="2"/>
    </row>
    <row r="258" spans="1:21" s="1" customFormat="1" ht="25.5">
      <c r="A258" s="11">
        <v>2109</v>
      </c>
      <c r="B258" s="14" t="s">
        <v>420</v>
      </c>
      <c r="C258" s="14" t="s">
        <v>233</v>
      </c>
      <c r="D258" s="12" t="s">
        <v>291</v>
      </c>
      <c r="E258" s="24" t="s">
        <v>414</v>
      </c>
      <c r="F258" s="20">
        <v>16.5</v>
      </c>
      <c r="G258" s="14">
        <v>1</v>
      </c>
      <c r="H258" s="15">
        <f t="shared" si="6"/>
        <v>16.5</v>
      </c>
      <c r="I258" s="16">
        <v>1.26</v>
      </c>
      <c r="J258" s="16">
        <f t="shared" si="7"/>
        <v>1.26</v>
      </c>
      <c r="K258" s="19" t="s">
        <v>18</v>
      </c>
      <c r="U258" s="2"/>
    </row>
    <row r="259" spans="1:21" s="1" customFormat="1" ht="33" customHeight="1">
      <c r="A259" s="11">
        <v>2110</v>
      </c>
      <c r="B259" s="14" t="s">
        <v>421</v>
      </c>
      <c r="C259" s="12" t="s">
        <v>233</v>
      </c>
      <c r="D259" s="12" t="s">
        <v>291</v>
      </c>
      <c r="E259" s="12" t="s">
        <v>308</v>
      </c>
      <c r="F259" s="20">
        <v>3.5</v>
      </c>
      <c r="G259" s="14">
        <v>8</v>
      </c>
      <c r="H259" s="15">
        <f t="shared" si="6"/>
        <v>28</v>
      </c>
      <c r="I259" s="16">
        <v>0.308</v>
      </c>
      <c r="J259" s="16">
        <f t="shared" si="7"/>
        <v>2.464</v>
      </c>
      <c r="K259" s="19" t="s">
        <v>18</v>
      </c>
      <c r="U259" s="2"/>
    </row>
    <row r="260" spans="1:21" s="1" customFormat="1" ht="25.5">
      <c r="A260" s="11">
        <v>2173</v>
      </c>
      <c r="B260" s="14" t="s">
        <v>422</v>
      </c>
      <c r="C260" s="12" t="s">
        <v>233</v>
      </c>
      <c r="D260" s="12" t="s">
        <v>291</v>
      </c>
      <c r="E260" s="12" t="s">
        <v>308</v>
      </c>
      <c r="F260" s="20">
        <v>18</v>
      </c>
      <c r="G260" s="14">
        <f>1</f>
        <v>1</v>
      </c>
      <c r="H260" s="15">
        <f aca="true" t="shared" si="8" ref="H260:H278">G260*F260</f>
        <v>18</v>
      </c>
      <c r="I260" s="16">
        <v>1.568</v>
      </c>
      <c r="J260" s="16">
        <f aca="true" t="shared" si="9" ref="J260:J278">G260*I260</f>
        <v>1.568</v>
      </c>
      <c r="K260" s="19" t="s">
        <v>18</v>
      </c>
      <c r="U260" s="2"/>
    </row>
    <row r="261" spans="1:21" s="1" customFormat="1" ht="25.5">
      <c r="A261" s="11">
        <v>2179</v>
      </c>
      <c r="B261" s="14" t="s">
        <v>423</v>
      </c>
      <c r="C261" s="12" t="s">
        <v>233</v>
      </c>
      <c r="D261" s="12" t="s">
        <v>291</v>
      </c>
      <c r="E261" s="12" t="s">
        <v>308</v>
      </c>
      <c r="F261" s="20">
        <v>18</v>
      </c>
      <c r="G261" s="14">
        <f>5</f>
        <v>5</v>
      </c>
      <c r="H261" s="15">
        <f t="shared" si="8"/>
        <v>90</v>
      </c>
      <c r="I261" s="16">
        <v>1.568</v>
      </c>
      <c r="J261" s="16">
        <f t="shared" si="9"/>
        <v>7.84</v>
      </c>
      <c r="K261" s="19" t="s">
        <v>18</v>
      </c>
      <c r="U261" s="2"/>
    </row>
    <row r="262" spans="1:21" s="1" customFormat="1" ht="12.75">
      <c r="A262" s="11">
        <v>2205</v>
      </c>
      <c r="B262" s="14" t="s">
        <v>424</v>
      </c>
      <c r="C262" s="24" t="s">
        <v>233</v>
      </c>
      <c r="D262" s="24" t="s">
        <v>20</v>
      </c>
      <c r="E262" s="24" t="s">
        <v>425</v>
      </c>
      <c r="F262" s="20">
        <v>120</v>
      </c>
      <c r="G262" s="14">
        <v>1</v>
      </c>
      <c r="H262" s="15">
        <f t="shared" si="8"/>
        <v>120</v>
      </c>
      <c r="I262" s="16">
        <v>8.96</v>
      </c>
      <c r="J262" s="16">
        <f t="shared" si="9"/>
        <v>8.96</v>
      </c>
      <c r="K262" s="19" t="s">
        <v>18</v>
      </c>
      <c r="U262" s="2"/>
    </row>
    <row r="263" spans="1:21" s="1" customFormat="1" ht="12.75">
      <c r="A263" s="11">
        <v>2207</v>
      </c>
      <c r="B263" s="14" t="s">
        <v>426</v>
      </c>
      <c r="C263" s="24" t="s">
        <v>74</v>
      </c>
      <c r="D263" s="12" t="s">
        <v>427</v>
      </c>
      <c r="E263" s="12" t="s">
        <v>98</v>
      </c>
      <c r="F263" s="20">
        <v>0.01</v>
      </c>
      <c r="G263" s="14">
        <f>240+250+250+248</f>
        <v>988</v>
      </c>
      <c r="H263" s="15">
        <f t="shared" si="8"/>
        <v>9.88</v>
      </c>
      <c r="I263" s="16">
        <v>0.008</v>
      </c>
      <c r="J263" s="16">
        <f t="shared" si="9"/>
        <v>7.904</v>
      </c>
      <c r="K263" s="19" t="s">
        <v>18</v>
      </c>
      <c r="U263" s="2"/>
    </row>
    <row r="264" spans="1:21" s="1" customFormat="1" ht="12.75">
      <c r="A264" s="11">
        <v>2210</v>
      </c>
      <c r="B264" s="14" t="s">
        <v>428</v>
      </c>
      <c r="C264" s="24" t="s">
        <v>279</v>
      </c>
      <c r="D264" s="24" t="s">
        <v>392</v>
      </c>
      <c r="E264" s="14" t="s">
        <v>281</v>
      </c>
      <c r="F264" s="20">
        <v>30</v>
      </c>
      <c r="G264" s="14">
        <f>321-2</f>
        <v>319</v>
      </c>
      <c r="H264" s="15">
        <f t="shared" si="8"/>
        <v>9570</v>
      </c>
      <c r="I264" s="16">
        <v>2.66</v>
      </c>
      <c r="J264" s="16">
        <f t="shared" si="9"/>
        <v>848.5400000000001</v>
      </c>
      <c r="K264" s="19"/>
      <c r="U264" s="2"/>
    </row>
    <row r="265" spans="1:21" s="1" customFormat="1" ht="12.75">
      <c r="A265" s="11">
        <v>2233</v>
      </c>
      <c r="B265" s="14" t="s">
        <v>429</v>
      </c>
      <c r="C265" s="12" t="s">
        <v>74</v>
      </c>
      <c r="D265" s="12" t="s">
        <v>430</v>
      </c>
      <c r="E265" s="14" t="s">
        <v>98</v>
      </c>
      <c r="F265" s="20">
        <v>34</v>
      </c>
      <c r="G265" s="14">
        <v>1</v>
      </c>
      <c r="H265" s="15">
        <f t="shared" si="8"/>
        <v>34</v>
      </c>
      <c r="I265" s="16">
        <v>3.1079999999999997</v>
      </c>
      <c r="J265" s="16">
        <f t="shared" si="9"/>
        <v>3.1079999999999997</v>
      </c>
      <c r="K265" s="19" t="s">
        <v>18</v>
      </c>
      <c r="U265" s="2"/>
    </row>
    <row r="266" spans="1:21" s="1" customFormat="1" ht="25.5">
      <c r="A266" s="11">
        <v>2305</v>
      </c>
      <c r="B266" s="14" t="s">
        <v>377</v>
      </c>
      <c r="C266" s="24" t="s">
        <v>233</v>
      </c>
      <c r="D266" s="12" t="s">
        <v>291</v>
      </c>
      <c r="E266" s="12" t="s">
        <v>431</v>
      </c>
      <c r="F266" s="20">
        <v>1.6</v>
      </c>
      <c r="G266" s="14">
        <v>129</v>
      </c>
      <c r="H266" s="15">
        <f t="shared" si="8"/>
        <v>206.4</v>
      </c>
      <c r="I266" s="16">
        <v>0.14</v>
      </c>
      <c r="J266" s="16">
        <f t="shared" si="9"/>
        <v>18.060000000000002</v>
      </c>
      <c r="K266" s="19" t="s">
        <v>18</v>
      </c>
      <c r="U266" s="2"/>
    </row>
    <row r="267" spans="1:21" s="1" customFormat="1" ht="25.5">
      <c r="A267" s="11">
        <v>2306</v>
      </c>
      <c r="B267" s="14" t="s">
        <v>379</v>
      </c>
      <c r="C267" s="24" t="s">
        <v>233</v>
      </c>
      <c r="D267" s="12" t="s">
        <v>291</v>
      </c>
      <c r="E267" s="12" t="s">
        <v>431</v>
      </c>
      <c r="F267" s="20">
        <v>1.6</v>
      </c>
      <c r="G267" s="14">
        <v>130</v>
      </c>
      <c r="H267" s="15">
        <f t="shared" si="8"/>
        <v>208</v>
      </c>
      <c r="I267" s="16">
        <v>0.14</v>
      </c>
      <c r="J267" s="16">
        <f t="shared" si="9"/>
        <v>18.200000000000003</v>
      </c>
      <c r="K267" s="19" t="s">
        <v>18</v>
      </c>
      <c r="U267" s="2"/>
    </row>
    <row r="268" spans="1:21" s="1" customFormat="1" ht="25.5">
      <c r="A268" s="11">
        <v>2307</v>
      </c>
      <c r="B268" s="14" t="s">
        <v>380</v>
      </c>
      <c r="C268" s="24" t="s">
        <v>233</v>
      </c>
      <c r="D268" s="12" t="s">
        <v>291</v>
      </c>
      <c r="E268" s="12" t="s">
        <v>431</v>
      </c>
      <c r="F268" s="20">
        <v>1.6</v>
      </c>
      <c r="G268" s="14">
        <f>136</f>
        <v>136</v>
      </c>
      <c r="H268" s="15">
        <f t="shared" si="8"/>
        <v>217.60000000000002</v>
      </c>
      <c r="I268" s="16">
        <v>0.14</v>
      </c>
      <c r="J268" s="16">
        <f t="shared" si="9"/>
        <v>19.040000000000003</v>
      </c>
      <c r="K268" s="19" t="s">
        <v>18</v>
      </c>
      <c r="U268" s="2"/>
    </row>
    <row r="269" spans="1:21" s="1" customFormat="1" ht="25.5">
      <c r="A269" s="11">
        <v>2308</v>
      </c>
      <c r="B269" s="14" t="s">
        <v>381</v>
      </c>
      <c r="C269" s="24" t="s">
        <v>233</v>
      </c>
      <c r="D269" s="12" t="s">
        <v>291</v>
      </c>
      <c r="E269" s="12" t="s">
        <v>431</v>
      </c>
      <c r="F269" s="20">
        <v>1.6</v>
      </c>
      <c r="G269" s="14">
        <v>131</v>
      </c>
      <c r="H269" s="15">
        <f t="shared" si="8"/>
        <v>209.60000000000002</v>
      </c>
      <c r="I269" s="16">
        <v>0.14</v>
      </c>
      <c r="J269" s="16">
        <f t="shared" si="9"/>
        <v>18.340000000000003</v>
      </c>
      <c r="K269" s="19" t="s">
        <v>18</v>
      </c>
      <c r="U269" s="2"/>
    </row>
    <row r="270" spans="1:21" s="1" customFormat="1" ht="25.5">
      <c r="A270" s="11">
        <v>2309</v>
      </c>
      <c r="B270" s="14" t="s">
        <v>382</v>
      </c>
      <c r="C270" s="24" t="s">
        <v>233</v>
      </c>
      <c r="D270" s="12" t="s">
        <v>291</v>
      </c>
      <c r="E270" s="12" t="s">
        <v>431</v>
      </c>
      <c r="F270" s="20">
        <v>1.6</v>
      </c>
      <c r="G270" s="14">
        <v>125</v>
      </c>
      <c r="H270" s="15">
        <f t="shared" si="8"/>
        <v>200</v>
      </c>
      <c r="I270" s="16">
        <v>0.14</v>
      </c>
      <c r="J270" s="16">
        <f t="shared" si="9"/>
        <v>17.5</v>
      </c>
      <c r="K270" s="19" t="s">
        <v>18</v>
      </c>
      <c r="U270" s="2"/>
    </row>
    <row r="271" spans="1:21" s="1" customFormat="1" ht="25.5">
      <c r="A271" s="11">
        <v>2311</v>
      </c>
      <c r="B271" s="14" t="s">
        <v>384</v>
      </c>
      <c r="C271" s="24" t="s">
        <v>233</v>
      </c>
      <c r="D271" s="12" t="s">
        <v>291</v>
      </c>
      <c r="E271" s="12" t="s">
        <v>431</v>
      </c>
      <c r="F271" s="20">
        <v>1.6</v>
      </c>
      <c r="G271" s="14">
        <f>131</f>
        <v>131</v>
      </c>
      <c r="H271" s="15">
        <f t="shared" si="8"/>
        <v>209.60000000000002</v>
      </c>
      <c r="I271" s="16">
        <v>0.14</v>
      </c>
      <c r="J271" s="16">
        <f t="shared" si="9"/>
        <v>18.340000000000003</v>
      </c>
      <c r="K271" s="19" t="s">
        <v>18</v>
      </c>
      <c r="U271" s="2"/>
    </row>
    <row r="272" spans="1:21" s="1" customFormat="1" ht="25.5">
      <c r="A272" s="11">
        <v>2312</v>
      </c>
      <c r="B272" s="14" t="s">
        <v>385</v>
      </c>
      <c r="C272" s="24" t="s">
        <v>233</v>
      </c>
      <c r="D272" s="12" t="s">
        <v>291</v>
      </c>
      <c r="E272" s="12" t="s">
        <v>431</v>
      </c>
      <c r="F272" s="20">
        <v>1.6</v>
      </c>
      <c r="G272" s="14">
        <f>130-130</f>
        <v>0</v>
      </c>
      <c r="H272" s="15">
        <f t="shared" si="8"/>
        <v>0</v>
      </c>
      <c r="I272" s="16">
        <v>0.14</v>
      </c>
      <c r="J272" s="16">
        <f t="shared" si="9"/>
        <v>0</v>
      </c>
      <c r="K272" s="19" t="s">
        <v>18</v>
      </c>
      <c r="U272" s="2"/>
    </row>
    <row r="273" spans="1:21" s="1" customFormat="1" ht="25.5">
      <c r="A273" s="11">
        <v>2313</v>
      </c>
      <c r="B273" s="14" t="s">
        <v>386</v>
      </c>
      <c r="C273" s="24" t="s">
        <v>233</v>
      </c>
      <c r="D273" s="12" t="s">
        <v>291</v>
      </c>
      <c r="E273" s="12" t="s">
        <v>431</v>
      </c>
      <c r="F273" s="20">
        <v>1.6</v>
      </c>
      <c r="G273" s="14">
        <v>144</v>
      </c>
      <c r="H273" s="15">
        <f t="shared" si="8"/>
        <v>230.4</v>
      </c>
      <c r="I273" s="16">
        <v>0.14</v>
      </c>
      <c r="J273" s="16">
        <f t="shared" si="9"/>
        <v>20.160000000000004</v>
      </c>
      <c r="K273" s="19" t="s">
        <v>18</v>
      </c>
      <c r="U273" s="2"/>
    </row>
    <row r="274" spans="1:21" s="1" customFormat="1" ht="21" customHeight="1">
      <c r="A274" s="11">
        <v>2314</v>
      </c>
      <c r="B274" s="14" t="s">
        <v>387</v>
      </c>
      <c r="C274" s="24" t="s">
        <v>233</v>
      </c>
      <c r="D274" s="12" t="s">
        <v>291</v>
      </c>
      <c r="E274" s="12" t="s">
        <v>431</v>
      </c>
      <c r="F274" s="20">
        <v>1.6</v>
      </c>
      <c r="G274" s="14">
        <v>132</v>
      </c>
      <c r="H274" s="15">
        <f t="shared" si="8"/>
        <v>211.20000000000002</v>
      </c>
      <c r="I274" s="16">
        <v>0.14</v>
      </c>
      <c r="J274" s="16">
        <f t="shared" si="9"/>
        <v>18.48</v>
      </c>
      <c r="K274" s="19" t="s">
        <v>18</v>
      </c>
      <c r="U274" s="2"/>
    </row>
    <row r="275" spans="1:21" s="1" customFormat="1" ht="25.5">
      <c r="A275" s="11">
        <v>2315</v>
      </c>
      <c r="B275" s="14" t="s">
        <v>388</v>
      </c>
      <c r="C275" s="24" t="s">
        <v>233</v>
      </c>
      <c r="D275" s="12" t="s">
        <v>291</v>
      </c>
      <c r="E275" s="12" t="s">
        <v>431</v>
      </c>
      <c r="F275" s="20">
        <v>1.6</v>
      </c>
      <c r="G275" s="14">
        <v>138</v>
      </c>
      <c r="H275" s="15">
        <f t="shared" si="8"/>
        <v>220.8</v>
      </c>
      <c r="I275" s="16">
        <v>0.14</v>
      </c>
      <c r="J275" s="16">
        <f t="shared" si="9"/>
        <v>19.32</v>
      </c>
      <c r="K275" s="19" t="s">
        <v>18</v>
      </c>
      <c r="U275" s="2"/>
    </row>
    <row r="276" spans="1:21" s="1" customFormat="1" ht="25.5">
      <c r="A276" s="11">
        <v>2316</v>
      </c>
      <c r="B276" s="14" t="s">
        <v>389</v>
      </c>
      <c r="C276" s="24" t="s">
        <v>233</v>
      </c>
      <c r="D276" s="12" t="s">
        <v>291</v>
      </c>
      <c r="E276" s="12" t="s">
        <v>431</v>
      </c>
      <c r="F276" s="20">
        <v>1.6</v>
      </c>
      <c r="G276" s="14">
        <v>130</v>
      </c>
      <c r="H276" s="15">
        <f t="shared" si="8"/>
        <v>208</v>
      </c>
      <c r="I276" s="16">
        <v>0.14</v>
      </c>
      <c r="J276" s="16">
        <f t="shared" si="9"/>
        <v>18.200000000000003</v>
      </c>
      <c r="K276" s="19" t="s">
        <v>18</v>
      </c>
      <c r="U276" s="2"/>
    </row>
    <row r="277" spans="1:21" s="1" customFormat="1" ht="25.5">
      <c r="A277" s="11">
        <v>2317</v>
      </c>
      <c r="B277" s="14" t="s">
        <v>390</v>
      </c>
      <c r="C277" s="24" t="s">
        <v>233</v>
      </c>
      <c r="D277" s="12" t="s">
        <v>291</v>
      </c>
      <c r="E277" s="12" t="s">
        <v>431</v>
      </c>
      <c r="F277" s="20">
        <v>1.6</v>
      </c>
      <c r="G277" s="14">
        <v>126</v>
      </c>
      <c r="H277" s="15">
        <f t="shared" si="8"/>
        <v>201.60000000000002</v>
      </c>
      <c r="I277" s="16">
        <v>0.14</v>
      </c>
      <c r="J277" s="16">
        <f t="shared" si="9"/>
        <v>17.64</v>
      </c>
      <c r="K277" s="19" t="s">
        <v>18</v>
      </c>
      <c r="U277" s="2"/>
    </row>
    <row r="278" spans="1:21" s="1" customFormat="1" ht="51">
      <c r="A278" s="11">
        <v>2321</v>
      </c>
      <c r="B278" s="14" t="s">
        <v>432</v>
      </c>
      <c r="C278" s="24" t="s">
        <v>279</v>
      </c>
      <c r="D278" s="14" t="s">
        <v>280</v>
      </c>
      <c r="E278" s="24" t="s">
        <v>281</v>
      </c>
      <c r="F278" s="20">
        <v>15.35</v>
      </c>
      <c r="G278" s="14">
        <f>31</f>
        <v>31</v>
      </c>
      <c r="H278" s="15">
        <f t="shared" si="8"/>
        <v>475.84999999999997</v>
      </c>
      <c r="I278" s="16">
        <v>1.26</v>
      </c>
      <c r="J278" s="16">
        <f t="shared" si="9"/>
        <v>39.06</v>
      </c>
      <c r="K278" s="19" t="s">
        <v>18</v>
      </c>
      <c r="U278" s="2"/>
    </row>
    <row r="279" spans="1:21" s="1" customFormat="1" ht="15">
      <c r="A279" s="224" t="s">
        <v>433</v>
      </c>
      <c r="B279" s="225"/>
      <c r="C279" s="225"/>
      <c r="D279" s="25"/>
      <c r="E279" s="25"/>
      <c r="F279" s="26"/>
      <c r="G279" s="26"/>
      <c r="H279" s="26"/>
      <c r="I279" s="27"/>
      <c r="J279" s="28">
        <f>SUM(J4:J278)</f>
        <v>4310.155400000001</v>
      </c>
      <c r="K279" s="29"/>
      <c r="U279" s="2"/>
    </row>
    <row r="280" spans="1:21" s="1" customFormat="1" ht="22.5" customHeight="1">
      <c r="A280" s="226" t="s">
        <v>434</v>
      </c>
      <c r="B280" s="227"/>
      <c r="C280" s="227"/>
      <c r="D280" s="227"/>
      <c r="E280" s="227"/>
      <c r="F280" s="227"/>
      <c r="G280" s="227"/>
      <c r="H280" s="227"/>
      <c r="I280" s="227"/>
      <c r="J280" s="228"/>
      <c r="K280" s="229"/>
      <c r="U280" s="2"/>
    </row>
    <row r="281" spans="1:20" s="1" customFormat="1" ht="60">
      <c r="A281" s="11"/>
      <c r="B281" s="31" t="s">
        <v>3</v>
      </c>
      <c r="C281" s="31" t="s">
        <v>435</v>
      </c>
      <c r="D281" s="31"/>
      <c r="E281" s="31"/>
      <c r="F281" s="32" t="s">
        <v>5</v>
      </c>
      <c r="G281" s="32" t="s">
        <v>6</v>
      </c>
      <c r="H281" s="31" t="s">
        <v>7</v>
      </c>
      <c r="I281" s="33" t="s">
        <v>8</v>
      </c>
      <c r="J281" s="33" t="s">
        <v>9</v>
      </c>
      <c r="K281" s="9" t="s">
        <v>10</v>
      </c>
      <c r="T281" s="2"/>
    </row>
    <row r="282" spans="1:22" s="1" customFormat="1" ht="12.75">
      <c r="A282" s="11">
        <v>90001</v>
      </c>
      <c r="B282" s="14" t="s">
        <v>436</v>
      </c>
      <c r="C282" s="14" t="s">
        <v>437</v>
      </c>
      <c r="D282" s="14" t="s">
        <v>438</v>
      </c>
      <c r="E282" s="14" t="s">
        <v>439</v>
      </c>
      <c r="F282" s="20">
        <v>4</v>
      </c>
      <c r="G282" s="14">
        <f>134</f>
        <v>134</v>
      </c>
      <c r="H282" s="15">
        <f aca="true" t="shared" si="10" ref="H282:H313">G282*F282</f>
        <v>536</v>
      </c>
      <c r="I282" s="27">
        <v>0.28</v>
      </c>
      <c r="J282" s="27">
        <f aca="true" t="shared" si="11" ref="J282:J313">G282*I282</f>
        <v>37.52</v>
      </c>
      <c r="K282" s="34" t="s">
        <v>15</v>
      </c>
      <c r="L282" s="35"/>
      <c r="V282" s="2"/>
    </row>
    <row r="283" spans="1:22" s="1" customFormat="1" ht="12.75">
      <c r="A283" s="11">
        <v>90002</v>
      </c>
      <c r="B283" s="14" t="s">
        <v>440</v>
      </c>
      <c r="C283" s="14" t="s">
        <v>437</v>
      </c>
      <c r="D283" s="14" t="s">
        <v>438</v>
      </c>
      <c r="E283" s="14" t="s">
        <v>439</v>
      </c>
      <c r="F283" s="20">
        <v>4</v>
      </c>
      <c r="G283" s="14">
        <f>98</f>
        <v>98</v>
      </c>
      <c r="H283" s="15">
        <f t="shared" si="10"/>
        <v>392</v>
      </c>
      <c r="I283" s="27">
        <v>0.28</v>
      </c>
      <c r="J283" s="27">
        <f t="shared" si="11"/>
        <v>27.44</v>
      </c>
      <c r="K283" s="19" t="s">
        <v>18</v>
      </c>
      <c r="L283" s="36"/>
      <c r="V283" s="2"/>
    </row>
    <row r="284" spans="1:22" s="1" customFormat="1" ht="12.75">
      <c r="A284" s="11">
        <v>90003</v>
      </c>
      <c r="B284" s="14" t="s">
        <v>441</v>
      </c>
      <c r="C284" s="14" t="s">
        <v>437</v>
      </c>
      <c r="D284" s="14" t="s">
        <v>438</v>
      </c>
      <c r="E284" s="14" t="s">
        <v>439</v>
      </c>
      <c r="F284" s="20">
        <v>4</v>
      </c>
      <c r="G284" s="14">
        <f>47+20+12</f>
        <v>79</v>
      </c>
      <c r="H284" s="15">
        <f t="shared" si="10"/>
        <v>316</v>
      </c>
      <c r="I284" s="27">
        <v>0.28</v>
      </c>
      <c r="J284" s="27">
        <f t="shared" si="11"/>
        <v>22.12</v>
      </c>
      <c r="K284" s="19" t="s">
        <v>18</v>
      </c>
      <c r="L284" s="36"/>
      <c r="V284" s="2"/>
    </row>
    <row r="285" spans="1:22" s="1" customFormat="1" ht="25.5">
      <c r="A285" s="89">
        <v>90007</v>
      </c>
      <c r="B285" s="90" t="s">
        <v>442</v>
      </c>
      <c r="C285" s="90" t="s">
        <v>437</v>
      </c>
      <c r="D285" s="90" t="s">
        <v>443</v>
      </c>
      <c r="E285" s="90" t="s">
        <v>444</v>
      </c>
      <c r="F285" s="91">
        <v>0.11</v>
      </c>
      <c r="G285" s="90">
        <f>3000+3000+2180-8180</f>
        <v>0</v>
      </c>
      <c r="H285" s="92">
        <f t="shared" si="10"/>
        <v>0</v>
      </c>
      <c r="I285" s="93">
        <v>0.008</v>
      </c>
      <c r="J285" s="93">
        <f t="shared" si="11"/>
        <v>0</v>
      </c>
      <c r="K285" s="94" t="s">
        <v>18</v>
      </c>
      <c r="L285" s="36"/>
      <c r="V285" s="2"/>
    </row>
    <row r="286" spans="1:22" s="1" customFormat="1" ht="12.75">
      <c r="A286" s="11">
        <v>90022</v>
      </c>
      <c r="B286" s="14" t="s">
        <v>445</v>
      </c>
      <c r="C286" s="14" t="s">
        <v>437</v>
      </c>
      <c r="D286" s="14" t="s">
        <v>438</v>
      </c>
      <c r="E286" s="14" t="s">
        <v>439</v>
      </c>
      <c r="F286" s="20">
        <v>4</v>
      </c>
      <c r="G286" s="14">
        <v>90</v>
      </c>
      <c r="H286" s="15">
        <f t="shared" si="10"/>
        <v>360</v>
      </c>
      <c r="I286" s="27">
        <v>0.28</v>
      </c>
      <c r="J286" s="27">
        <f t="shared" si="11"/>
        <v>25.200000000000003</v>
      </c>
      <c r="K286" s="19" t="s">
        <v>18</v>
      </c>
      <c r="L286" s="36"/>
      <c r="V286" s="2"/>
    </row>
    <row r="287" spans="1:22" s="1" customFormat="1" ht="12.75">
      <c r="A287" s="11">
        <v>90023</v>
      </c>
      <c r="B287" s="14" t="s">
        <v>446</v>
      </c>
      <c r="C287" s="14" t="s">
        <v>437</v>
      </c>
      <c r="D287" s="14" t="s">
        <v>438</v>
      </c>
      <c r="E287" s="14" t="s">
        <v>439</v>
      </c>
      <c r="F287" s="20">
        <v>4</v>
      </c>
      <c r="G287" s="14">
        <f>44</f>
        <v>44</v>
      </c>
      <c r="H287" s="15">
        <f t="shared" si="10"/>
        <v>176</v>
      </c>
      <c r="I287" s="27">
        <v>0.28</v>
      </c>
      <c r="J287" s="27">
        <f t="shared" si="11"/>
        <v>12.32</v>
      </c>
      <c r="K287" s="19" t="s">
        <v>18</v>
      </c>
      <c r="L287" s="36"/>
      <c r="V287" s="2"/>
    </row>
    <row r="288" spans="1:22" s="1" customFormat="1" ht="12.75">
      <c r="A288" s="11">
        <v>90024</v>
      </c>
      <c r="B288" s="14" t="s">
        <v>447</v>
      </c>
      <c r="C288" s="14" t="s">
        <v>437</v>
      </c>
      <c r="D288" s="14" t="s">
        <v>438</v>
      </c>
      <c r="E288" s="14" t="s">
        <v>439</v>
      </c>
      <c r="F288" s="20">
        <v>4</v>
      </c>
      <c r="G288" s="14">
        <f>23</f>
        <v>23</v>
      </c>
      <c r="H288" s="15">
        <f t="shared" si="10"/>
        <v>92</v>
      </c>
      <c r="I288" s="27">
        <v>0.28</v>
      </c>
      <c r="J288" s="27">
        <f t="shared" si="11"/>
        <v>6.44</v>
      </c>
      <c r="K288" s="19" t="s">
        <v>18</v>
      </c>
      <c r="L288" s="36"/>
      <c r="V288" s="2"/>
    </row>
    <row r="289" spans="1:22" s="1" customFormat="1" ht="12.75">
      <c r="A289" s="11">
        <v>90025</v>
      </c>
      <c r="B289" s="14" t="s">
        <v>448</v>
      </c>
      <c r="C289" s="14" t="s">
        <v>437</v>
      </c>
      <c r="D289" s="14" t="s">
        <v>438</v>
      </c>
      <c r="E289" s="14" t="s">
        <v>439</v>
      </c>
      <c r="F289" s="20">
        <v>3</v>
      </c>
      <c r="G289" s="14">
        <f>168</f>
        <v>168</v>
      </c>
      <c r="H289" s="15">
        <f t="shared" si="10"/>
        <v>504</v>
      </c>
      <c r="I289" s="27">
        <v>0.4</v>
      </c>
      <c r="J289" s="27">
        <f t="shared" si="11"/>
        <v>67.2</v>
      </c>
      <c r="K289" s="19" t="s">
        <v>18</v>
      </c>
      <c r="L289" s="36"/>
      <c r="V289" s="2"/>
    </row>
    <row r="290" spans="1:22" s="1" customFormat="1" ht="25.5">
      <c r="A290" s="11">
        <v>90027</v>
      </c>
      <c r="B290" s="14" t="s">
        <v>449</v>
      </c>
      <c r="C290" s="14" t="s">
        <v>437</v>
      </c>
      <c r="D290" s="14" t="s">
        <v>450</v>
      </c>
      <c r="E290" s="14" t="s">
        <v>451</v>
      </c>
      <c r="F290" s="20">
        <v>2.01</v>
      </c>
      <c r="G290" s="14">
        <f>46</f>
        <v>46</v>
      </c>
      <c r="H290" s="15">
        <f t="shared" si="10"/>
        <v>92.46</v>
      </c>
      <c r="I290" s="27">
        <v>0.2</v>
      </c>
      <c r="J290" s="27">
        <f t="shared" si="11"/>
        <v>9.200000000000001</v>
      </c>
      <c r="K290" s="19" t="s">
        <v>18</v>
      </c>
      <c r="L290" s="36"/>
      <c r="V290" s="2"/>
    </row>
    <row r="291" spans="1:22" s="1" customFormat="1" ht="25.5">
      <c r="A291" s="89">
        <v>90043</v>
      </c>
      <c r="B291" s="90" t="s">
        <v>452</v>
      </c>
      <c r="C291" s="90" t="s">
        <v>437</v>
      </c>
      <c r="D291" s="90" t="s">
        <v>443</v>
      </c>
      <c r="E291" s="90" t="s">
        <v>453</v>
      </c>
      <c r="F291" s="91">
        <v>1.03</v>
      </c>
      <c r="G291" s="90">
        <f>203-203</f>
        <v>0</v>
      </c>
      <c r="H291" s="92">
        <f t="shared" si="10"/>
        <v>0</v>
      </c>
      <c r="I291" s="93">
        <v>0.098</v>
      </c>
      <c r="J291" s="93">
        <f t="shared" si="11"/>
        <v>0</v>
      </c>
      <c r="K291" s="94" t="s">
        <v>18</v>
      </c>
      <c r="L291" s="36"/>
      <c r="V291" s="2"/>
    </row>
    <row r="292" spans="1:22" s="1" customFormat="1" ht="25.5">
      <c r="A292" s="89">
        <v>90044</v>
      </c>
      <c r="B292" s="90" t="s">
        <v>454</v>
      </c>
      <c r="C292" s="90" t="s">
        <v>437</v>
      </c>
      <c r="D292" s="90" t="s">
        <v>443</v>
      </c>
      <c r="E292" s="90" t="s">
        <v>453</v>
      </c>
      <c r="F292" s="91">
        <v>1.03</v>
      </c>
      <c r="G292" s="90">
        <f>160+92+64-316</f>
        <v>0</v>
      </c>
      <c r="H292" s="92">
        <f t="shared" si="10"/>
        <v>0</v>
      </c>
      <c r="I292" s="93">
        <v>0.098</v>
      </c>
      <c r="J292" s="93">
        <f t="shared" si="11"/>
        <v>0</v>
      </c>
      <c r="K292" s="94" t="s">
        <v>18</v>
      </c>
      <c r="L292" s="36"/>
      <c r="V292" s="2"/>
    </row>
    <row r="293" spans="1:22" s="1" customFormat="1" ht="25.5">
      <c r="A293" s="89">
        <v>90045</v>
      </c>
      <c r="B293" s="90" t="s">
        <v>455</v>
      </c>
      <c r="C293" s="90" t="s">
        <v>437</v>
      </c>
      <c r="D293" s="90" t="s">
        <v>443</v>
      </c>
      <c r="E293" s="90" t="s">
        <v>453</v>
      </c>
      <c r="F293" s="91">
        <v>1.03</v>
      </c>
      <c r="G293" s="90">
        <f>70+100+70+70+34-344</f>
        <v>0</v>
      </c>
      <c r="H293" s="92">
        <f t="shared" si="10"/>
        <v>0</v>
      </c>
      <c r="I293" s="93">
        <v>0.098</v>
      </c>
      <c r="J293" s="93">
        <f t="shared" si="11"/>
        <v>0</v>
      </c>
      <c r="K293" s="94" t="s">
        <v>18</v>
      </c>
      <c r="L293" s="36"/>
      <c r="V293" s="2"/>
    </row>
    <row r="294" spans="1:22" s="1" customFormat="1" ht="25.5">
      <c r="A294" s="89">
        <v>90047</v>
      </c>
      <c r="B294" s="90" t="s">
        <v>456</v>
      </c>
      <c r="C294" s="90" t="s">
        <v>437</v>
      </c>
      <c r="D294" s="90" t="s">
        <v>443</v>
      </c>
      <c r="E294" s="90" t="s">
        <v>453</v>
      </c>
      <c r="F294" s="91">
        <v>1.89</v>
      </c>
      <c r="G294" s="90">
        <f>127+140+94-361</f>
        <v>0</v>
      </c>
      <c r="H294" s="92">
        <f t="shared" si="10"/>
        <v>0</v>
      </c>
      <c r="I294" s="93">
        <v>0.182</v>
      </c>
      <c r="J294" s="93">
        <f t="shared" si="11"/>
        <v>0</v>
      </c>
      <c r="K294" s="94" t="s">
        <v>18</v>
      </c>
      <c r="L294" s="36"/>
      <c r="V294" s="2"/>
    </row>
    <row r="295" spans="1:22" s="1" customFormat="1" ht="25.5">
      <c r="A295" s="11">
        <v>90050</v>
      </c>
      <c r="B295" s="14" t="s">
        <v>457</v>
      </c>
      <c r="C295" s="14" t="s">
        <v>437</v>
      </c>
      <c r="D295" s="14" t="s">
        <v>443</v>
      </c>
      <c r="E295" s="14" t="s">
        <v>458</v>
      </c>
      <c r="F295" s="20">
        <v>1.96</v>
      </c>
      <c r="G295" s="14">
        <f>100+100</f>
        <v>200</v>
      </c>
      <c r="H295" s="15">
        <f t="shared" si="10"/>
        <v>392</v>
      </c>
      <c r="I295" s="27">
        <v>0.196</v>
      </c>
      <c r="J295" s="27">
        <f t="shared" si="11"/>
        <v>39.2</v>
      </c>
      <c r="K295" s="19" t="s">
        <v>18</v>
      </c>
      <c r="L295" s="36"/>
      <c r="V295" s="2"/>
    </row>
    <row r="296" spans="1:22" s="1" customFormat="1" ht="25.5">
      <c r="A296" s="11">
        <v>90051</v>
      </c>
      <c r="B296" s="14" t="s">
        <v>459</v>
      </c>
      <c r="C296" s="14" t="s">
        <v>437</v>
      </c>
      <c r="D296" s="14" t="s">
        <v>443</v>
      </c>
      <c r="E296" s="14" t="s">
        <v>458</v>
      </c>
      <c r="F296" s="20">
        <v>1.96</v>
      </c>
      <c r="G296" s="14">
        <f>100</f>
        <v>100</v>
      </c>
      <c r="H296" s="15">
        <f t="shared" si="10"/>
        <v>196</v>
      </c>
      <c r="I296" s="27">
        <v>0.196</v>
      </c>
      <c r="J296" s="27">
        <f t="shared" si="11"/>
        <v>19.6</v>
      </c>
      <c r="K296" s="19" t="s">
        <v>18</v>
      </c>
      <c r="L296" s="36"/>
      <c r="V296" s="2"/>
    </row>
    <row r="297" spans="1:22" s="1" customFormat="1" ht="25.5">
      <c r="A297" s="11">
        <v>90052</v>
      </c>
      <c r="B297" s="14" t="s">
        <v>460</v>
      </c>
      <c r="C297" s="14" t="s">
        <v>437</v>
      </c>
      <c r="D297" s="14" t="s">
        <v>443</v>
      </c>
      <c r="E297" s="14" t="s">
        <v>458</v>
      </c>
      <c r="F297" s="20">
        <v>1.96</v>
      </c>
      <c r="G297" s="14">
        <v>664</v>
      </c>
      <c r="H297" s="15">
        <f t="shared" si="10"/>
        <v>1301.44</v>
      </c>
      <c r="I297" s="27">
        <v>0.196</v>
      </c>
      <c r="J297" s="27">
        <f t="shared" si="11"/>
        <v>130.144</v>
      </c>
      <c r="K297" s="19" t="s">
        <v>18</v>
      </c>
      <c r="L297" s="36"/>
      <c r="V297" s="2"/>
    </row>
    <row r="298" spans="1:22" s="1" customFormat="1" ht="25.5">
      <c r="A298" s="11">
        <v>90053</v>
      </c>
      <c r="B298" s="14" t="s">
        <v>461</v>
      </c>
      <c r="C298" s="14" t="s">
        <v>437</v>
      </c>
      <c r="D298" s="14" t="s">
        <v>443</v>
      </c>
      <c r="E298" s="14" t="s">
        <v>458</v>
      </c>
      <c r="F298" s="20">
        <v>1.96</v>
      </c>
      <c r="G298" s="14">
        <f>100+100</f>
        <v>200</v>
      </c>
      <c r="H298" s="15">
        <f t="shared" si="10"/>
        <v>392</v>
      </c>
      <c r="I298" s="27">
        <v>0.196</v>
      </c>
      <c r="J298" s="27">
        <f t="shared" si="11"/>
        <v>39.2</v>
      </c>
      <c r="K298" s="19" t="s">
        <v>18</v>
      </c>
      <c r="L298" s="36"/>
      <c r="V298" s="2"/>
    </row>
    <row r="299" spans="1:22" s="1" customFormat="1" ht="25.5">
      <c r="A299" s="11">
        <v>90054</v>
      </c>
      <c r="B299" s="14" t="s">
        <v>462</v>
      </c>
      <c r="C299" s="14" t="s">
        <v>437</v>
      </c>
      <c r="D299" s="14" t="s">
        <v>443</v>
      </c>
      <c r="E299" s="14" t="s">
        <v>458</v>
      </c>
      <c r="F299" s="20">
        <v>1.96</v>
      </c>
      <c r="G299" s="14">
        <f>100+96+100</f>
        <v>296</v>
      </c>
      <c r="H299" s="15">
        <f t="shared" si="10"/>
        <v>580.16</v>
      </c>
      <c r="I299" s="27">
        <v>0.196</v>
      </c>
      <c r="J299" s="27">
        <f t="shared" si="11"/>
        <v>58.016000000000005</v>
      </c>
      <c r="K299" s="19" t="s">
        <v>18</v>
      </c>
      <c r="L299" s="36"/>
      <c r="V299" s="2"/>
    </row>
    <row r="300" spans="1:22" s="1" customFormat="1" ht="12.75">
      <c r="A300" s="89">
        <v>90059</v>
      </c>
      <c r="B300" s="90" t="s">
        <v>463</v>
      </c>
      <c r="C300" s="90" t="s">
        <v>437</v>
      </c>
      <c r="D300" s="90" t="s">
        <v>438</v>
      </c>
      <c r="E300" s="90" t="s">
        <v>464</v>
      </c>
      <c r="F300" s="91">
        <v>6</v>
      </c>
      <c r="G300" s="90">
        <f>37-37</f>
        <v>0</v>
      </c>
      <c r="H300" s="92">
        <f t="shared" si="10"/>
        <v>0</v>
      </c>
      <c r="I300" s="93">
        <v>0.5880000000000001</v>
      </c>
      <c r="J300" s="93">
        <f t="shared" si="11"/>
        <v>0</v>
      </c>
      <c r="K300" s="94" t="s">
        <v>18</v>
      </c>
      <c r="L300" s="36"/>
      <c r="V300" s="2"/>
    </row>
    <row r="301" spans="1:22" s="1" customFormat="1" ht="25.5">
      <c r="A301" s="11">
        <v>90079</v>
      </c>
      <c r="B301" s="14" t="s">
        <v>465</v>
      </c>
      <c r="C301" s="14" t="s">
        <v>437</v>
      </c>
      <c r="D301" s="14" t="s">
        <v>450</v>
      </c>
      <c r="E301" s="14" t="s">
        <v>466</v>
      </c>
      <c r="F301" s="20">
        <v>1.96</v>
      </c>
      <c r="G301" s="14">
        <f>48</f>
        <v>48</v>
      </c>
      <c r="H301" s="15">
        <f t="shared" si="10"/>
        <v>94.08</v>
      </c>
      <c r="I301" s="27">
        <v>0.196</v>
      </c>
      <c r="J301" s="27">
        <f t="shared" si="11"/>
        <v>9.408000000000001</v>
      </c>
      <c r="K301" s="19" t="s">
        <v>18</v>
      </c>
      <c r="L301" s="36"/>
      <c r="V301" s="2"/>
    </row>
    <row r="302" spans="1:22" s="1" customFormat="1" ht="12.75">
      <c r="A302" s="11">
        <v>90083</v>
      </c>
      <c r="B302" s="14" t="s">
        <v>467</v>
      </c>
      <c r="C302" s="14" t="s">
        <v>437</v>
      </c>
      <c r="D302" s="14" t="s">
        <v>468</v>
      </c>
      <c r="E302" s="14" t="s">
        <v>469</v>
      </c>
      <c r="F302" s="20">
        <v>2.3</v>
      </c>
      <c r="G302" s="14">
        <v>75</v>
      </c>
      <c r="H302" s="15">
        <f t="shared" si="10"/>
        <v>172.5</v>
      </c>
      <c r="I302" s="27">
        <v>0.22400000000000003</v>
      </c>
      <c r="J302" s="27">
        <f t="shared" si="11"/>
        <v>16.8</v>
      </c>
      <c r="K302" s="19" t="s">
        <v>18</v>
      </c>
      <c r="L302" s="36"/>
      <c r="V302" s="2"/>
    </row>
    <row r="303" spans="1:22" s="1" customFormat="1" ht="25.5">
      <c r="A303" s="11">
        <v>90085</v>
      </c>
      <c r="B303" s="14" t="s">
        <v>470</v>
      </c>
      <c r="C303" s="14" t="s">
        <v>437</v>
      </c>
      <c r="D303" s="14" t="s">
        <v>450</v>
      </c>
      <c r="E303" s="14" t="s">
        <v>471</v>
      </c>
      <c r="F303" s="20">
        <v>45</v>
      </c>
      <c r="G303" s="14">
        <f>10-1-9</f>
        <v>0</v>
      </c>
      <c r="H303" s="15">
        <f t="shared" si="10"/>
        <v>0</v>
      </c>
      <c r="I303" s="27">
        <v>3.668</v>
      </c>
      <c r="J303" s="27">
        <f t="shared" si="11"/>
        <v>0</v>
      </c>
      <c r="K303" s="19" t="s">
        <v>18</v>
      </c>
      <c r="L303" s="36"/>
      <c r="V303" s="2"/>
    </row>
    <row r="304" spans="1:22" s="1" customFormat="1" ht="25.5">
      <c r="A304" s="11">
        <v>90092</v>
      </c>
      <c r="B304" s="14" t="s">
        <v>472</v>
      </c>
      <c r="C304" s="14" t="s">
        <v>437</v>
      </c>
      <c r="D304" s="14" t="s">
        <v>438</v>
      </c>
      <c r="E304" s="14" t="s">
        <v>473</v>
      </c>
      <c r="F304" s="20">
        <v>7.1</v>
      </c>
      <c r="G304" s="14">
        <f>37</f>
        <v>37</v>
      </c>
      <c r="H304" s="15">
        <f t="shared" si="10"/>
        <v>262.7</v>
      </c>
      <c r="I304" s="27">
        <v>0.6719999999999999</v>
      </c>
      <c r="J304" s="27">
        <f t="shared" si="11"/>
        <v>24.863999999999997</v>
      </c>
      <c r="K304" s="19" t="s">
        <v>18</v>
      </c>
      <c r="L304" s="36"/>
      <c r="V304" s="2"/>
    </row>
    <row r="305" spans="1:22" s="1" customFormat="1" ht="25.5">
      <c r="A305" s="11">
        <v>90094</v>
      </c>
      <c r="B305" s="14" t="s">
        <v>474</v>
      </c>
      <c r="C305" s="14" t="s">
        <v>437</v>
      </c>
      <c r="D305" s="14" t="s">
        <v>438</v>
      </c>
      <c r="E305" s="14" t="s">
        <v>473</v>
      </c>
      <c r="F305" s="20">
        <v>6.45</v>
      </c>
      <c r="G305" s="14">
        <f>18</f>
        <v>18</v>
      </c>
      <c r="H305" s="15">
        <f t="shared" si="10"/>
        <v>116.10000000000001</v>
      </c>
      <c r="I305" s="27">
        <v>0.6439999999999999</v>
      </c>
      <c r="J305" s="27">
        <f t="shared" si="11"/>
        <v>11.591999999999999</v>
      </c>
      <c r="K305" s="19" t="s">
        <v>18</v>
      </c>
      <c r="L305" s="36"/>
      <c r="V305" s="2"/>
    </row>
    <row r="306" spans="1:22" s="1" customFormat="1" ht="25.5">
      <c r="A306" s="89">
        <v>90098</v>
      </c>
      <c r="B306" s="90" t="s">
        <v>475</v>
      </c>
      <c r="C306" s="90" t="s">
        <v>437</v>
      </c>
      <c r="D306" s="90" t="s">
        <v>450</v>
      </c>
      <c r="E306" s="90" t="s">
        <v>476</v>
      </c>
      <c r="F306" s="91">
        <v>20.2</v>
      </c>
      <c r="G306" s="90">
        <f>7+6+5-18</f>
        <v>0</v>
      </c>
      <c r="H306" s="92">
        <f t="shared" si="10"/>
        <v>0</v>
      </c>
      <c r="I306" s="93">
        <v>1.904</v>
      </c>
      <c r="J306" s="93">
        <f t="shared" si="11"/>
        <v>0</v>
      </c>
      <c r="K306" s="94" t="s">
        <v>18</v>
      </c>
      <c r="L306" s="36"/>
      <c r="V306" s="2"/>
    </row>
    <row r="307" spans="1:22" s="1" customFormat="1" ht="12.75">
      <c r="A307" s="11">
        <v>90128</v>
      </c>
      <c r="B307" s="14" t="s">
        <v>477</v>
      </c>
      <c r="C307" s="14" t="s">
        <v>478</v>
      </c>
      <c r="D307" s="14" t="s">
        <v>479</v>
      </c>
      <c r="E307" s="14" t="s">
        <v>480</v>
      </c>
      <c r="F307" s="20">
        <v>86</v>
      </c>
      <c r="G307" s="14">
        <f>1</f>
        <v>1</v>
      </c>
      <c r="H307" s="15">
        <f t="shared" si="10"/>
        <v>86</v>
      </c>
      <c r="I307" s="27">
        <v>6.72</v>
      </c>
      <c r="J307" s="27">
        <f t="shared" si="11"/>
        <v>6.72</v>
      </c>
      <c r="K307" s="19" t="s">
        <v>18</v>
      </c>
      <c r="L307" s="36"/>
      <c r="V307" s="2"/>
    </row>
    <row r="308" spans="1:22" s="1" customFormat="1" ht="12.75">
      <c r="A308" s="11">
        <v>90130</v>
      </c>
      <c r="B308" s="14" t="s">
        <v>481</v>
      </c>
      <c r="C308" s="14" t="s">
        <v>478</v>
      </c>
      <c r="D308" s="14" t="s">
        <v>479</v>
      </c>
      <c r="E308" s="14" t="s">
        <v>482</v>
      </c>
      <c r="F308" s="20">
        <v>63</v>
      </c>
      <c r="G308" s="14">
        <f>9</f>
        <v>9</v>
      </c>
      <c r="H308" s="15">
        <f t="shared" si="10"/>
        <v>567</v>
      </c>
      <c r="I308" s="27">
        <v>5.32</v>
      </c>
      <c r="J308" s="27">
        <f t="shared" si="11"/>
        <v>47.88</v>
      </c>
      <c r="K308" s="19" t="s">
        <v>18</v>
      </c>
      <c r="L308" s="36"/>
      <c r="V308" s="2"/>
    </row>
    <row r="309" spans="1:22" s="1" customFormat="1" ht="12.75">
      <c r="A309" s="11">
        <v>90132</v>
      </c>
      <c r="B309" s="14" t="s">
        <v>483</v>
      </c>
      <c r="C309" s="14" t="s">
        <v>478</v>
      </c>
      <c r="D309" s="14" t="s">
        <v>479</v>
      </c>
      <c r="E309" s="14" t="s">
        <v>484</v>
      </c>
      <c r="F309" s="20">
        <v>38</v>
      </c>
      <c r="G309" s="14">
        <f>18</f>
        <v>18</v>
      </c>
      <c r="H309" s="15">
        <f t="shared" si="10"/>
        <v>684</v>
      </c>
      <c r="I309" s="37">
        <v>3.3879999999999995</v>
      </c>
      <c r="J309" s="27">
        <f t="shared" si="11"/>
        <v>60.98399999999999</v>
      </c>
      <c r="K309" s="19"/>
      <c r="L309" s="36"/>
      <c r="V309" s="2"/>
    </row>
    <row r="310" spans="1:22" s="1" customFormat="1" ht="12.75">
      <c r="A310" s="11">
        <v>90136</v>
      </c>
      <c r="B310" s="14" t="s">
        <v>485</v>
      </c>
      <c r="C310" s="14" t="s">
        <v>478</v>
      </c>
      <c r="D310" s="14" t="s">
        <v>479</v>
      </c>
      <c r="E310" s="14" t="s">
        <v>482</v>
      </c>
      <c r="F310" s="20">
        <v>62</v>
      </c>
      <c r="G310" s="14">
        <f>6</f>
        <v>6</v>
      </c>
      <c r="H310" s="15">
        <f t="shared" si="10"/>
        <v>372</v>
      </c>
      <c r="I310" s="27">
        <v>5.18</v>
      </c>
      <c r="J310" s="27">
        <f t="shared" si="11"/>
        <v>31.08</v>
      </c>
      <c r="K310" s="19"/>
      <c r="L310" s="36"/>
      <c r="V310" s="2"/>
    </row>
    <row r="311" spans="1:22" s="1" customFormat="1" ht="12.75">
      <c r="A311" s="11">
        <v>90137</v>
      </c>
      <c r="B311" s="14" t="s">
        <v>486</v>
      </c>
      <c r="C311" s="14" t="s">
        <v>478</v>
      </c>
      <c r="D311" s="14" t="s">
        <v>479</v>
      </c>
      <c r="E311" s="14" t="s">
        <v>480</v>
      </c>
      <c r="F311" s="20">
        <v>24</v>
      </c>
      <c r="G311" s="14">
        <f>5</f>
        <v>5</v>
      </c>
      <c r="H311" s="15">
        <f t="shared" si="10"/>
        <v>120</v>
      </c>
      <c r="I311" s="27">
        <v>2.38</v>
      </c>
      <c r="J311" s="27">
        <f t="shared" si="11"/>
        <v>11.899999999999999</v>
      </c>
      <c r="K311" s="19" t="s">
        <v>18</v>
      </c>
      <c r="L311" s="36"/>
      <c r="V311" s="2"/>
    </row>
    <row r="312" spans="1:22" s="1" customFormat="1" ht="12.75">
      <c r="A312" s="11">
        <v>90149</v>
      </c>
      <c r="B312" s="14" t="s">
        <v>487</v>
      </c>
      <c r="C312" s="14" t="s">
        <v>437</v>
      </c>
      <c r="D312" s="14" t="s">
        <v>438</v>
      </c>
      <c r="E312" s="14" t="s">
        <v>488</v>
      </c>
      <c r="F312" s="20">
        <v>6</v>
      </c>
      <c r="G312" s="14">
        <f>35</f>
        <v>35</v>
      </c>
      <c r="H312" s="15">
        <f t="shared" si="10"/>
        <v>210</v>
      </c>
      <c r="I312" s="27">
        <v>0.5880000000000001</v>
      </c>
      <c r="J312" s="27">
        <f t="shared" si="11"/>
        <v>20.580000000000002</v>
      </c>
      <c r="K312" s="19" t="s">
        <v>18</v>
      </c>
      <c r="L312" s="36"/>
      <c r="V312" s="2"/>
    </row>
    <row r="313" spans="1:22" s="1" customFormat="1" ht="12.75">
      <c r="A313" s="11">
        <v>90150</v>
      </c>
      <c r="B313" s="14" t="s">
        <v>489</v>
      </c>
      <c r="C313" s="14" t="s">
        <v>437</v>
      </c>
      <c r="D313" s="14" t="s">
        <v>438</v>
      </c>
      <c r="E313" s="14" t="s">
        <v>488</v>
      </c>
      <c r="F313" s="20">
        <v>6</v>
      </c>
      <c r="G313" s="14">
        <v>20</v>
      </c>
      <c r="H313" s="15">
        <f t="shared" si="10"/>
        <v>120</v>
      </c>
      <c r="I313" s="27">
        <v>0.5880000000000001</v>
      </c>
      <c r="J313" s="27">
        <f t="shared" si="11"/>
        <v>11.760000000000002</v>
      </c>
      <c r="K313" s="19" t="s">
        <v>18</v>
      </c>
      <c r="L313" s="36"/>
      <c r="V313" s="2"/>
    </row>
    <row r="314" spans="1:22" s="1" customFormat="1" ht="12.75">
      <c r="A314" s="11">
        <v>90151</v>
      </c>
      <c r="B314" s="14" t="s">
        <v>490</v>
      </c>
      <c r="C314" s="14" t="s">
        <v>478</v>
      </c>
      <c r="D314" s="14" t="s">
        <v>479</v>
      </c>
      <c r="E314" s="14" t="s">
        <v>480</v>
      </c>
      <c r="F314" s="20">
        <v>16.9</v>
      </c>
      <c r="G314" s="14">
        <f>35</f>
        <v>35</v>
      </c>
      <c r="H314" s="15">
        <f aca="true" t="shared" si="12" ref="H314:H345">G314*F314</f>
        <v>591.5</v>
      </c>
      <c r="I314" s="27">
        <v>1.6239999999999999</v>
      </c>
      <c r="J314" s="27">
        <f aca="true" t="shared" si="13" ref="J314:J345">G314*I314</f>
        <v>56.839999999999996</v>
      </c>
      <c r="K314" s="19" t="s">
        <v>18</v>
      </c>
      <c r="L314" s="36"/>
      <c r="V314" s="2"/>
    </row>
    <row r="315" spans="1:22" s="1" customFormat="1" ht="12.75">
      <c r="A315" s="11">
        <v>90208</v>
      </c>
      <c r="B315" s="14" t="s">
        <v>491</v>
      </c>
      <c r="C315" s="14" t="s">
        <v>478</v>
      </c>
      <c r="D315" s="14" t="s">
        <v>492</v>
      </c>
      <c r="E315" s="14" t="s">
        <v>493</v>
      </c>
      <c r="F315" s="20">
        <v>3.9</v>
      </c>
      <c r="G315" s="14">
        <f>45</f>
        <v>45</v>
      </c>
      <c r="H315" s="15">
        <f t="shared" si="12"/>
        <v>175.5</v>
      </c>
      <c r="I315" s="27">
        <v>0.364</v>
      </c>
      <c r="J315" s="27">
        <f t="shared" si="13"/>
        <v>16.38</v>
      </c>
      <c r="K315" s="19" t="s">
        <v>18</v>
      </c>
      <c r="L315" s="36"/>
      <c r="V315" s="2"/>
    </row>
    <row r="316" spans="1:22" s="1" customFormat="1" ht="12.75">
      <c r="A316" s="11">
        <v>90209</v>
      </c>
      <c r="B316" s="14" t="s">
        <v>494</v>
      </c>
      <c r="C316" s="14" t="s">
        <v>478</v>
      </c>
      <c r="D316" s="14" t="s">
        <v>492</v>
      </c>
      <c r="E316" s="14" t="s">
        <v>493</v>
      </c>
      <c r="F316" s="20">
        <v>8.2</v>
      </c>
      <c r="G316" s="14">
        <f>87</f>
        <v>87</v>
      </c>
      <c r="H316" s="15">
        <f t="shared" si="12"/>
        <v>713.4</v>
      </c>
      <c r="I316" s="27">
        <v>0.784</v>
      </c>
      <c r="J316" s="27">
        <f t="shared" si="13"/>
        <v>68.208</v>
      </c>
      <c r="K316" s="19" t="s">
        <v>18</v>
      </c>
      <c r="L316" s="36"/>
      <c r="V316" s="2"/>
    </row>
    <row r="317" spans="1:22" s="1" customFormat="1" ht="38.25">
      <c r="A317" s="11">
        <v>90240</v>
      </c>
      <c r="B317" s="14" t="s">
        <v>495</v>
      </c>
      <c r="C317" s="14" t="s">
        <v>496</v>
      </c>
      <c r="D317" s="14" t="s">
        <v>497</v>
      </c>
      <c r="E317" s="14" t="s">
        <v>498</v>
      </c>
      <c r="F317" s="20">
        <v>18</v>
      </c>
      <c r="G317" s="14">
        <f>24+60</f>
        <v>84</v>
      </c>
      <c r="H317" s="15">
        <f t="shared" si="12"/>
        <v>1512</v>
      </c>
      <c r="I317" s="27">
        <v>1.7079999999999997</v>
      </c>
      <c r="J317" s="27">
        <f t="shared" si="13"/>
        <v>143.47199999999998</v>
      </c>
      <c r="K317" s="19" t="s">
        <v>18</v>
      </c>
      <c r="L317" s="36"/>
      <c r="V317" s="2"/>
    </row>
    <row r="318" spans="1:22" s="1" customFormat="1" ht="38.25">
      <c r="A318" s="11">
        <v>90241</v>
      </c>
      <c r="B318" s="14" t="s">
        <v>499</v>
      </c>
      <c r="C318" s="14" t="s">
        <v>496</v>
      </c>
      <c r="D318" s="14" t="s">
        <v>497</v>
      </c>
      <c r="E318" s="14" t="s">
        <v>498</v>
      </c>
      <c r="F318" s="20">
        <v>35</v>
      </c>
      <c r="G318" s="14">
        <f>56</f>
        <v>56</v>
      </c>
      <c r="H318" s="15">
        <f t="shared" si="12"/>
        <v>1960</v>
      </c>
      <c r="I318" s="27">
        <v>3.22</v>
      </c>
      <c r="J318" s="27">
        <f t="shared" si="13"/>
        <v>180.32000000000002</v>
      </c>
      <c r="K318" s="19" t="s">
        <v>18</v>
      </c>
      <c r="L318" s="36"/>
      <c r="V318" s="2"/>
    </row>
    <row r="319" spans="1:22" s="1" customFormat="1" ht="12.75">
      <c r="A319" s="11">
        <v>90242</v>
      </c>
      <c r="B319" s="14" t="s">
        <v>500</v>
      </c>
      <c r="C319" s="14" t="s">
        <v>478</v>
      </c>
      <c r="D319" s="14" t="s">
        <v>479</v>
      </c>
      <c r="E319" s="14" t="s">
        <v>480</v>
      </c>
      <c r="F319" s="20">
        <v>17</v>
      </c>
      <c r="G319" s="14">
        <v>106</v>
      </c>
      <c r="H319" s="15">
        <f t="shared" si="12"/>
        <v>1802</v>
      </c>
      <c r="I319" s="27">
        <v>1.568</v>
      </c>
      <c r="J319" s="27">
        <f t="shared" si="13"/>
        <v>166.208</v>
      </c>
      <c r="K319" s="19" t="s">
        <v>18</v>
      </c>
      <c r="L319" s="36"/>
      <c r="V319" s="2"/>
    </row>
    <row r="320" spans="1:22" s="1" customFormat="1" ht="25.5">
      <c r="A320" s="11">
        <v>90257</v>
      </c>
      <c r="B320" s="14" t="s">
        <v>104</v>
      </c>
      <c r="C320" s="14" t="s">
        <v>437</v>
      </c>
      <c r="D320" s="14" t="s">
        <v>438</v>
      </c>
      <c r="E320" s="14" t="s">
        <v>473</v>
      </c>
      <c r="F320" s="20">
        <v>7.75</v>
      </c>
      <c r="G320" s="14">
        <f>21</f>
        <v>21</v>
      </c>
      <c r="H320" s="15">
        <f t="shared" si="12"/>
        <v>162.75</v>
      </c>
      <c r="I320" s="27">
        <v>0.616</v>
      </c>
      <c r="J320" s="27">
        <f t="shared" si="13"/>
        <v>12.936</v>
      </c>
      <c r="K320" s="19" t="s">
        <v>18</v>
      </c>
      <c r="L320" s="36"/>
      <c r="V320" s="2"/>
    </row>
    <row r="321" spans="1:22" s="1" customFormat="1" ht="25.5">
      <c r="A321" s="11">
        <v>90258</v>
      </c>
      <c r="B321" s="14" t="s">
        <v>105</v>
      </c>
      <c r="C321" s="14" t="s">
        <v>437</v>
      </c>
      <c r="D321" s="14" t="s">
        <v>438</v>
      </c>
      <c r="E321" s="14" t="s">
        <v>473</v>
      </c>
      <c r="F321" s="20">
        <v>6.4</v>
      </c>
      <c r="G321" s="14">
        <f>58</f>
        <v>58</v>
      </c>
      <c r="H321" s="15">
        <f t="shared" si="12"/>
        <v>371.20000000000005</v>
      </c>
      <c r="I321" s="27">
        <v>0.5880000000000001</v>
      </c>
      <c r="J321" s="27">
        <f t="shared" si="13"/>
        <v>34.104000000000006</v>
      </c>
      <c r="K321" s="19" t="s">
        <v>18</v>
      </c>
      <c r="L321" s="36"/>
      <c r="V321" s="2"/>
    </row>
    <row r="322" spans="1:22" s="1" customFormat="1" ht="12.75">
      <c r="A322" s="11">
        <v>90272</v>
      </c>
      <c r="B322" s="14" t="s">
        <v>106</v>
      </c>
      <c r="C322" s="14" t="s">
        <v>478</v>
      </c>
      <c r="D322" s="14" t="s">
        <v>479</v>
      </c>
      <c r="E322" s="14" t="s">
        <v>480</v>
      </c>
      <c r="F322" s="20">
        <v>16.9</v>
      </c>
      <c r="G322" s="14">
        <v>40</v>
      </c>
      <c r="H322" s="15">
        <f t="shared" si="12"/>
        <v>676</v>
      </c>
      <c r="I322" s="27">
        <v>1.6239999999999999</v>
      </c>
      <c r="J322" s="27">
        <f t="shared" si="13"/>
        <v>64.96</v>
      </c>
      <c r="K322" s="19" t="s">
        <v>18</v>
      </c>
      <c r="L322" s="36"/>
      <c r="V322" s="2"/>
    </row>
    <row r="323" spans="1:22" s="1" customFormat="1" ht="12.75">
      <c r="A323" s="11">
        <v>90273</v>
      </c>
      <c r="B323" s="14" t="s">
        <v>107</v>
      </c>
      <c r="C323" s="14" t="s">
        <v>478</v>
      </c>
      <c r="D323" s="14" t="s">
        <v>479</v>
      </c>
      <c r="E323" s="14" t="s">
        <v>480</v>
      </c>
      <c r="F323" s="20">
        <v>16.9</v>
      </c>
      <c r="G323" s="14">
        <f>50</f>
        <v>50</v>
      </c>
      <c r="H323" s="15">
        <f t="shared" si="12"/>
        <v>844.9999999999999</v>
      </c>
      <c r="I323" s="27">
        <v>1.6239999999999999</v>
      </c>
      <c r="J323" s="27">
        <f t="shared" si="13"/>
        <v>81.19999999999999</v>
      </c>
      <c r="K323" s="19" t="s">
        <v>18</v>
      </c>
      <c r="L323" s="36"/>
      <c r="V323" s="2"/>
    </row>
    <row r="324" spans="1:22" s="1" customFormat="1" ht="12.75">
      <c r="A324" s="11">
        <v>90276</v>
      </c>
      <c r="B324" s="14" t="s">
        <v>108</v>
      </c>
      <c r="C324" s="14" t="s">
        <v>109</v>
      </c>
      <c r="D324" s="14" t="s">
        <v>110</v>
      </c>
      <c r="E324" s="14" t="s">
        <v>111</v>
      </c>
      <c r="F324" s="20">
        <v>52.25</v>
      </c>
      <c r="G324" s="14">
        <v>1</v>
      </c>
      <c r="H324" s="15">
        <f t="shared" si="12"/>
        <v>52.25</v>
      </c>
      <c r="I324" s="27">
        <v>4.9</v>
      </c>
      <c r="J324" s="27">
        <f t="shared" si="13"/>
        <v>4.9</v>
      </c>
      <c r="K324" s="19" t="s">
        <v>18</v>
      </c>
      <c r="L324" s="36"/>
      <c r="V324" s="2"/>
    </row>
    <row r="325" spans="1:22" s="1" customFormat="1" ht="38.25">
      <c r="A325" s="89">
        <v>90286</v>
      </c>
      <c r="B325" s="90" t="s">
        <v>112</v>
      </c>
      <c r="C325" s="90" t="s">
        <v>109</v>
      </c>
      <c r="D325" s="90" t="s">
        <v>110</v>
      </c>
      <c r="E325" s="90" t="s">
        <v>111</v>
      </c>
      <c r="F325" s="91">
        <v>24.75</v>
      </c>
      <c r="G325" s="90">
        <f>9-9</f>
        <v>0</v>
      </c>
      <c r="H325" s="92">
        <f t="shared" si="12"/>
        <v>0</v>
      </c>
      <c r="I325" s="93">
        <v>2.38</v>
      </c>
      <c r="J325" s="93">
        <f t="shared" si="13"/>
        <v>0</v>
      </c>
      <c r="K325" s="94" t="s">
        <v>18</v>
      </c>
      <c r="L325" s="36"/>
      <c r="V325" s="2"/>
    </row>
    <row r="326" spans="1:22" s="1" customFormat="1" ht="12.75">
      <c r="A326" s="89">
        <v>90287</v>
      </c>
      <c r="B326" s="90" t="s">
        <v>113</v>
      </c>
      <c r="C326" s="90" t="s">
        <v>109</v>
      </c>
      <c r="D326" s="90" t="s">
        <v>110</v>
      </c>
      <c r="E326" s="90" t="s">
        <v>111</v>
      </c>
      <c r="F326" s="91">
        <v>30.25</v>
      </c>
      <c r="G326" s="90">
        <f>16-16</f>
        <v>0</v>
      </c>
      <c r="H326" s="92">
        <f t="shared" si="12"/>
        <v>0</v>
      </c>
      <c r="I326" s="93">
        <v>0.42</v>
      </c>
      <c r="J326" s="93">
        <f t="shared" si="13"/>
        <v>0</v>
      </c>
      <c r="K326" s="94" t="s">
        <v>18</v>
      </c>
      <c r="L326" s="36"/>
      <c r="V326" s="2"/>
    </row>
    <row r="327" spans="1:22" s="1" customFormat="1" ht="12.75">
      <c r="A327" s="11">
        <v>90310</v>
      </c>
      <c r="B327" s="14" t="s">
        <v>114</v>
      </c>
      <c r="C327" s="14" t="s">
        <v>109</v>
      </c>
      <c r="D327" s="14" t="s">
        <v>110</v>
      </c>
      <c r="E327" s="14" t="s">
        <v>111</v>
      </c>
      <c r="F327" s="20">
        <v>29</v>
      </c>
      <c r="G327" s="14">
        <f>38-20-12</f>
        <v>6</v>
      </c>
      <c r="H327" s="15">
        <f t="shared" si="12"/>
        <v>174</v>
      </c>
      <c r="I327" s="27">
        <v>2.7960000000000003</v>
      </c>
      <c r="J327" s="27">
        <f t="shared" si="13"/>
        <v>16.776000000000003</v>
      </c>
      <c r="K327" s="19" t="s">
        <v>18</v>
      </c>
      <c r="L327" s="36"/>
      <c r="V327" s="2"/>
    </row>
    <row r="328" spans="1:22" s="1" customFormat="1" ht="12.75">
      <c r="A328" s="11">
        <v>90316</v>
      </c>
      <c r="B328" s="14" t="s">
        <v>115</v>
      </c>
      <c r="C328" s="14" t="s">
        <v>109</v>
      </c>
      <c r="D328" s="14" t="s">
        <v>110</v>
      </c>
      <c r="E328" s="14" t="s">
        <v>116</v>
      </c>
      <c r="F328" s="20">
        <v>33.5</v>
      </c>
      <c r="G328" s="14">
        <f>12-12</f>
        <v>0</v>
      </c>
      <c r="H328" s="15">
        <f t="shared" si="12"/>
        <v>0</v>
      </c>
      <c r="I328" s="27">
        <v>3.22</v>
      </c>
      <c r="J328" s="27">
        <f t="shared" si="13"/>
        <v>0</v>
      </c>
      <c r="K328" s="19" t="s">
        <v>18</v>
      </c>
      <c r="L328" s="36"/>
      <c r="V328" s="2"/>
    </row>
    <row r="329" spans="1:22" s="1" customFormat="1" ht="12.75">
      <c r="A329" s="11">
        <v>90319</v>
      </c>
      <c r="B329" s="14" t="s">
        <v>117</v>
      </c>
      <c r="C329" s="14" t="s">
        <v>109</v>
      </c>
      <c r="D329" s="14" t="s">
        <v>110</v>
      </c>
      <c r="E329" s="14" t="s">
        <v>111</v>
      </c>
      <c r="F329" s="20">
        <v>13.15</v>
      </c>
      <c r="G329" s="14">
        <f>10+10+10+6-10-10-10</f>
        <v>6</v>
      </c>
      <c r="H329" s="15">
        <f t="shared" si="12"/>
        <v>78.9</v>
      </c>
      <c r="I329" s="27">
        <v>1.26</v>
      </c>
      <c r="J329" s="27">
        <f t="shared" si="13"/>
        <v>7.5600000000000005</v>
      </c>
      <c r="K329" s="19" t="s">
        <v>18</v>
      </c>
      <c r="L329" s="36"/>
      <c r="V329" s="2"/>
    </row>
    <row r="330" spans="1:22" s="1" customFormat="1" ht="12.75">
      <c r="A330" s="11">
        <v>52</v>
      </c>
      <c r="B330" s="14" t="s">
        <v>118</v>
      </c>
      <c r="C330" s="14" t="s">
        <v>109</v>
      </c>
      <c r="D330" s="14" t="s">
        <v>110</v>
      </c>
      <c r="E330" s="14" t="s">
        <v>111</v>
      </c>
      <c r="F330" s="20">
        <v>26.3</v>
      </c>
      <c r="G330" s="14">
        <v>52</v>
      </c>
      <c r="H330" s="15">
        <f t="shared" si="12"/>
        <v>1367.6000000000001</v>
      </c>
      <c r="I330" s="27">
        <v>2.5479999999999996</v>
      </c>
      <c r="J330" s="27">
        <f t="shared" si="13"/>
        <v>132.49599999999998</v>
      </c>
      <c r="K330" s="19" t="s">
        <v>18</v>
      </c>
      <c r="L330" s="36"/>
      <c r="V330" s="2"/>
    </row>
    <row r="331" spans="1:22" s="1" customFormat="1" ht="12.75">
      <c r="A331" s="11">
        <v>90324</v>
      </c>
      <c r="B331" s="14" t="s">
        <v>119</v>
      </c>
      <c r="C331" s="14" t="s">
        <v>109</v>
      </c>
      <c r="D331" s="14" t="s">
        <v>110</v>
      </c>
      <c r="E331" s="14" t="s">
        <v>116</v>
      </c>
      <c r="F331" s="20">
        <v>45.55</v>
      </c>
      <c r="G331" s="14">
        <f>50-15</f>
        <v>35</v>
      </c>
      <c r="H331" s="15">
        <f t="shared" si="12"/>
        <v>1594.25</v>
      </c>
      <c r="I331" s="27">
        <v>3.976</v>
      </c>
      <c r="J331" s="27">
        <f t="shared" si="13"/>
        <v>139.16</v>
      </c>
      <c r="K331" s="19" t="s">
        <v>18</v>
      </c>
      <c r="L331" s="36"/>
      <c r="V331" s="2"/>
    </row>
    <row r="332" spans="1:22" s="1" customFormat="1" ht="12.75">
      <c r="A332" s="89">
        <v>90329</v>
      </c>
      <c r="B332" s="90" t="s">
        <v>120</v>
      </c>
      <c r="C332" s="90" t="s">
        <v>109</v>
      </c>
      <c r="D332" s="90" t="s">
        <v>110</v>
      </c>
      <c r="E332" s="90" t="s">
        <v>111</v>
      </c>
      <c r="F332" s="91">
        <v>40.19</v>
      </c>
      <c r="G332" s="90">
        <f>170-10-1-2-20</f>
        <v>137</v>
      </c>
      <c r="H332" s="92">
        <f t="shared" si="12"/>
        <v>5506.03</v>
      </c>
      <c r="I332" s="93">
        <v>3.3879999999999995</v>
      </c>
      <c r="J332" s="93">
        <f t="shared" si="13"/>
        <v>464.15599999999995</v>
      </c>
      <c r="K332" s="94" t="s">
        <v>18</v>
      </c>
      <c r="L332" s="36"/>
      <c r="V332" s="2"/>
    </row>
    <row r="333" spans="1:22" s="1" customFormat="1" ht="12.75">
      <c r="A333" s="89">
        <v>90330</v>
      </c>
      <c r="B333" s="90" t="s">
        <v>120</v>
      </c>
      <c r="C333" s="90" t="s">
        <v>109</v>
      </c>
      <c r="D333" s="90" t="s">
        <v>110</v>
      </c>
      <c r="E333" s="90" t="s">
        <v>121</v>
      </c>
      <c r="F333" s="91">
        <v>40.19</v>
      </c>
      <c r="G333" s="90">
        <f>124-4-1-20</f>
        <v>99</v>
      </c>
      <c r="H333" s="92">
        <f t="shared" si="12"/>
        <v>3978.81</v>
      </c>
      <c r="I333" s="93">
        <v>3.3879999999999995</v>
      </c>
      <c r="J333" s="93">
        <f t="shared" si="13"/>
        <v>335.4119999999999</v>
      </c>
      <c r="K333" s="94" t="s">
        <v>18</v>
      </c>
      <c r="L333" s="36"/>
      <c r="V333" s="2"/>
    </row>
    <row r="334" spans="1:22" s="1" customFormat="1" ht="25.5">
      <c r="A334" s="11">
        <v>90337</v>
      </c>
      <c r="B334" s="14" t="s">
        <v>122</v>
      </c>
      <c r="C334" s="14" t="s">
        <v>109</v>
      </c>
      <c r="D334" s="14" t="s">
        <v>110</v>
      </c>
      <c r="E334" s="14" t="s">
        <v>123</v>
      </c>
      <c r="F334" s="20">
        <v>17.23</v>
      </c>
      <c r="G334" s="14">
        <f>5*6</f>
        <v>30</v>
      </c>
      <c r="H334" s="15">
        <f t="shared" si="12"/>
        <v>516.9</v>
      </c>
      <c r="I334" s="27">
        <v>1.456</v>
      </c>
      <c r="J334" s="27">
        <f t="shared" si="13"/>
        <v>43.68</v>
      </c>
      <c r="K334" s="19" t="s">
        <v>18</v>
      </c>
      <c r="L334" s="36"/>
      <c r="V334" s="2"/>
    </row>
    <row r="335" spans="1:22" s="1" customFormat="1" ht="12.75">
      <c r="A335" s="89">
        <v>90339</v>
      </c>
      <c r="B335" s="90" t="s">
        <v>124</v>
      </c>
      <c r="C335" s="90" t="s">
        <v>109</v>
      </c>
      <c r="D335" s="90" t="s">
        <v>110</v>
      </c>
      <c r="E335" s="90" t="s">
        <v>111</v>
      </c>
      <c r="F335" s="91">
        <v>28.71</v>
      </c>
      <c r="G335" s="90">
        <f>76-20</f>
        <v>56</v>
      </c>
      <c r="H335" s="92">
        <f t="shared" si="12"/>
        <v>1607.76</v>
      </c>
      <c r="I335" s="93">
        <v>2.856</v>
      </c>
      <c r="J335" s="93">
        <f t="shared" si="13"/>
        <v>159.93599999999998</v>
      </c>
      <c r="K335" s="94" t="s">
        <v>18</v>
      </c>
      <c r="L335" s="36"/>
      <c r="V335" s="2"/>
    </row>
    <row r="336" spans="1:22" s="1" customFormat="1" ht="25.5">
      <c r="A336" s="11">
        <v>90341</v>
      </c>
      <c r="B336" s="14" t="s">
        <v>125</v>
      </c>
      <c r="C336" s="14" t="s">
        <v>109</v>
      </c>
      <c r="D336" s="14" t="s">
        <v>110</v>
      </c>
      <c r="E336" s="14" t="s">
        <v>111</v>
      </c>
      <c r="F336" s="20">
        <v>45.94</v>
      </c>
      <c r="G336" s="14">
        <f>2-2</f>
        <v>0</v>
      </c>
      <c r="H336" s="15">
        <f t="shared" si="12"/>
        <v>0</v>
      </c>
      <c r="I336" s="27">
        <v>4.536</v>
      </c>
      <c r="J336" s="27">
        <f t="shared" si="13"/>
        <v>0</v>
      </c>
      <c r="K336" s="19" t="s">
        <v>18</v>
      </c>
      <c r="L336" s="36"/>
      <c r="V336" s="2"/>
    </row>
    <row r="337" spans="1:22" s="1" customFormat="1" ht="25.5">
      <c r="A337" s="89">
        <v>90343</v>
      </c>
      <c r="B337" s="90" t="s">
        <v>126</v>
      </c>
      <c r="C337" s="90" t="s">
        <v>109</v>
      </c>
      <c r="D337" s="90" t="s">
        <v>110</v>
      </c>
      <c r="E337" s="90" t="s">
        <v>127</v>
      </c>
      <c r="F337" s="91">
        <v>34.45</v>
      </c>
      <c r="G337" s="90">
        <f>13-11</f>
        <v>2</v>
      </c>
      <c r="H337" s="92">
        <f t="shared" si="12"/>
        <v>68.9</v>
      </c>
      <c r="I337" s="93">
        <v>3.4440000000000004</v>
      </c>
      <c r="J337" s="93">
        <f t="shared" si="13"/>
        <v>6.888000000000001</v>
      </c>
      <c r="K337" s="94" t="s">
        <v>18</v>
      </c>
      <c r="L337" s="36"/>
      <c r="V337" s="2"/>
    </row>
    <row r="338" spans="1:22" s="1" customFormat="1" ht="12.75">
      <c r="A338" s="11">
        <v>90349</v>
      </c>
      <c r="B338" s="14" t="s">
        <v>128</v>
      </c>
      <c r="C338" s="14" t="s">
        <v>478</v>
      </c>
      <c r="D338" s="14" t="s">
        <v>479</v>
      </c>
      <c r="E338" s="14" t="s">
        <v>484</v>
      </c>
      <c r="F338" s="20">
        <v>49</v>
      </c>
      <c r="G338" s="14">
        <f>4</f>
        <v>4</v>
      </c>
      <c r="H338" s="15">
        <f t="shared" si="12"/>
        <v>196</v>
      </c>
      <c r="I338" s="27">
        <v>4.9</v>
      </c>
      <c r="J338" s="27">
        <f t="shared" si="13"/>
        <v>19.6</v>
      </c>
      <c r="K338" s="19" t="s">
        <v>18</v>
      </c>
      <c r="L338" s="36"/>
      <c r="V338" s="2"/>
    </row>
    <row r="339" spans="1:22" s="1" customFormat="1" ht="38.25">
      <c r="A339" s="89">
        <v>90410</v>
      </c>
      <c r="B339" s="90" t="s">
        <v>129</v>
      </c>
      <c r="C339" s="90" t="s">
        <v>109</v>
      </c>
      <c r="D339" s="95" t="s">
        <v>359</v>
      </c>
      <c r="E339" s="95" t="s">
        <v>111</v>
      </c>
      <c r="F339" s="91">
        <v>6.88</v>
      </c>
      <c r="G339" s="90">
        <f>60+60+50</f>
        <v>170</v>
      </c>
      <c r="H339" s="92">
        <f t="shared" si="12"/>
        <v>1169.6</v>
      </c>
      <c r="I339" s="93">
        <v>0.616</v>
      </c>
      <c r="J339" s="93">
        <f t="shared" si="13"/>
        <v>104.72</v>
      </c>
      <c r="K339" s="94" t="s">
        <v>18</v>
      </c>
      <c r="L339" s="36"/>
      <c r="V339" s="2"/>
    </row>
    <row r="340" spans="1:22" s="1" customFormat="1" ht="25.5">
      <c r="A340" s="11">
        <v>90455</v>
      </c>
      <c r="B340" s="14" t="s">
        <v>130</v>
      </c>
      <c r="C340" s="14" t="s">
        <v>437</v>
      </c>
      <c r="D340" s="14" t="s">
        <v>443</v>
      </c>
      <c r="E340" s="14" t="s">
        <v>131</v>
      </c>
      <c r="F340" s="20">
        <v>12.04</v>
      </c>
      <c r="G340" s="14">
        <f>14+14+16+11+25+25+10+16+9</f>
        <v>140</v>
      </c>
      <c r="H340" s="15">
        <f t="shared" si="12"/>
        <v>1685.6</v>
      </c>
      <c r="I340" s="27">
        <v>1.1480000000000001</v>
      </c>
      <c r="J340" s="27">
        <f t="shared" si="13"/>
        <v>160.72000000000003</v>
      </c>
      <c r="K340" s="19" t="s">
        <v>18</v>
      </c>
      <c r="L340" s="36"/>
      <c r="V340" s="2"/>
    </row>
    <row r="341" spans="1:22" s="1" customFormat="1" ht="25.5">
      <c r="A341" s="11">
        <v>90474</v>
      </c>
      <c r="B341" s="14" t="s">
        <v>132</v>
      </c>
      <c r="C341" s="14" t="s">
        <v>437</v>
      </c>
      <c r="D341" s="14" t="s">
        <v>450</v>
      </c>
      <c r="E341" s="38" t="s">
        <v>133</v>
      </c>
      <c r="F341" s="20">
        <v>27.5</v>
      </c>
      <c r="G341" s="14">
        <f>2</f>
        <v>2</v>
      </c>
      <c r="H341" s="15">
        <f t="shared" si="12"/>
        <v>55</v>
      </c>
      <c r="I341" s="27">
        <v>2.6879999999999997</v>
      </c>
      <c r="J341" s="27">
        <f t="shared" si="13"/>
        <v>5.3759999999999994</v>
      </c>
      <c r="K341" s="19" t="s">
        <v>18</v>
      </c>
      <c r="L341" s="36"/>
      <c r="V341" s="2"/>
    </row>
    <row r="342" spans="1:22" s="1" customFormat="1" ht="12.75">
      <c r="A342" s="89">
        <v>90523</v>
      </c>
      <c r="B342" s="90" t="s">
        <v>134</v>
      </c>
      <c r="C342" s="90" t="s">
        <v>437</v>
      </c>
      <c r="D342" s="90" t="s">
        <v>438</v>
      </c>
      <c r="E342" s="90" t="s">
        <v>135</v>
      </c>
      <c r="F342" s="91">
        <v>32.5</v>
      </c>
      <c r="G342" s="90">
        <f>9-9</f>
        <v>0</v>
      </c>
      <c r="H342" s="92">
        <f t="shared" si="12"/>
        <v>0</v>
      </c>
      <c r="I342" s="93">
        <v>3.136</v>
      </c>
      <c r="J342" s="93">
        <f t="shared" si="13"/>
        <v>0</v>
      </c>
      <c r="K342" s="94" t="s">
        <v>18</v>
      </c>
      <c r="L342" s="36"/>
      <c r="V342" s="2"/>
    </row>
    <row r="343" spans="1:22" s="1" customFormat="1" ht="12.75">
      <c r="A343" s="89">
        <v>90524</v>
      </c>
      <c r="B343" s="90" t="s">
        <v>136</v>
      </c>
      <c r="C343" s="90" t="s">
        <v>437</v>
      </c>
      <c r="D343" s="90" t="s">
        <v>438</v>
      </c>
      <c r="E343" s="90" t="s">
        <v>135</v>
      </c>
      <c r="F343" s="91">
        <v>32.5</v>
      </c>
      <c r="G343" s="90">
        <f>9-9</f>
        <v>0</v>
      </c>
      <c r="H343" s="92">
        <f t="shared" si="12"/>
        <v>0</v>
      </c>
      <c r="I343" s="93">
        <v>3.136</v>
      </c>
      <c r="J343" s="93">
        <f t="shared" si="13"/>
        <v>0</v>
      </c>
      <c r="K343" s="94" t="s">
        <v>18</v>
      </c>
      <c r="L343" s="36"/>
      <c r="V343" s="2"/>
    </row>
    <row r="344" spans="1:22" s="1" customFormat="1" ht="25.5">
      <c r="A344" s="89">
        <v>90532</v>
      </c>
      <c r="B344" s="90" t="s">
        <v>137</v>
      </c>
      <c r="C344" s="90" t="s">
        <v>138</v>
      </c>
      <c r="D344" s="95" t="s">
        <v>139</v>
      </c>
      <c r="E344" s="95" t="s">
        <v>111</v>
      </c>
      <c r="F344" s="91">
        <v>3.14</v>
      </c>
      <c r="G344" s="90">
        <f>640+340+33-1013</f>
        <v>0</v>
      </c>
      <c r="H344" s="92">
        <f t="shared" si="12"/>
        <v>0</v>
      </c>
      <c r="I344" s="93">
        <v>0.308</v>
      </c>
      <c r="J344" s="93">
        <f t="shared" si="13"/>
        <v>0</v>
      </c>
      <c r="K344" s="94" t="s">
        <v>18</v>
      </c>
      <c r="L344" s="36"/>
      <c r="V344" s="2"/>
    </row>
    <row r="345" spans="1:22" s="1" customFormat="1" ht="12.75">
      <c r="A345" s="11">
        <v>90534</v>
      </c>
      <c r="B345" s="14" t="s">
        <v>140</v>
      </c>
      <c r="C345" s="14" t="s">
        <v>437</v>
      </c>
      <c r="D345" s="38" t="s">
        <v>438</v>
      </c>
      <c r="E345" s="38" t="s">
        <v>141</v>
      </c>
      <c r="F345" s="20">
        <v>3.14</v>
      </c>
      <c r="G345" s="14">
        <f>51+39</f>
        <v>90</v>
      </c>
      <c r="H345" s="15">
        <f t="shared" si="12"/>
        <v>282.6</v>
      </c>
      <c r="I345" s="27">
        <v>0.308</v>
      </c>
      <c r="J345" s="27">
        <f t="shared" si="13"/>
        <v>27.72</v>
      </c>
      <c r="K345" s="19" t="s">
        <v>18</v>
      </c>
      <c r="L345" s="36"/>
      <c r="V345" s="2"/>
    </row>
    <row r="346" spans="1:22" s="1" customFormat="1" ht="12.75">
      <c r="A346" s="11">
        <v>90536</v>
      </c>
      <c r="B346" s="14" t="s">
        <v>142</v>
      </c>
      <c r="C346" s="14" t="s">
        <v>437</v>
      </c>
      <c r="D346" s="38" t="s">
        <v>438</v>
      </c>
      <c r="E346" s="38" t="s">
        <v>143</v>
      </c>
      <c r="F346" s="20">
        <v>11.29</v>
      </c>
      <c r="G346" s="14">
        <f>21+22+22+22+22+20+16+20+39+22+21+8</f>
        <v>255</v>
      </c>
      <c r="H346" s="15">
        <f aca="true" t="shared" si="14" ref="H346:H377">G346*F346</f>
        <v>2878.95</v>
      </c>
      <c r="I346" s="27">
        <v>1.092</v>
      </c>
      <c r="J346" s="27">
        <f aca="true" t="shared" si="15" ref="J346:J377">G346*I346</f>
        <v>278.46000000000004</v>
      </c>
      <c r="K346" s="19" t="s">
        <v>18</v>
      </c>
      <c r="L346" s="36"/>
      <c r="V346" s="2"/>
    </row>
    <row r="347" spans="1:22" s="1" customFormat="1" ht="12.75">
      <c r="A347" s="11">
        <v>90537</v>
      </c>
      <c r="B347" s="14" t="s">
        <v>144</v>
      </c>
      <c r="C347" s="14" t="s">
        <v>437</v>
      </c>
      <c r="D347" s="38" t="s">
        <v>438</v>
      </c>
      <c r="E347" s="38"/>
      <c r="F347" s="20">
        <v>11.83</v>
      </c>
      <c r="G347" s="14">
        <f>90+80+57+113</f>
        <v>340</v>
      </c>
      <c r="H347" s="15">
        <f t="shared" si="14"/>
        <v>4022.2</v>
      </c>
      <c r="I347" s="27">
        <v>1.1480000000000001</v>
      </c>
      <c r="J347" s="27">
        <f t="shared" si="15"/>
        <v>390.32000000000005</v>
      </c>
      <c r="K347" s="19" t="s">
        <v>18</v>
      </c>
      <c r="L347" s="36"/>
      <c r="V347" s="2"/>
    </row>
    <row r="348" spans="1:22" s="1" customFormat="1" ht="12.75">
      <c r="A348" s="11">
        <v>90547</v>
      </c>
      <c r="B348" s="14" t="s">
        <v>145</v>
      </c>
      <c r="C348" s="14" t="s">
        <v>478</v>
      </c>
      <c r="D348" s="38" t="s">
        <v>438</v>
      </c>
      <c r="E348" s="38" t="s">
        <v>488</v>
      </c>
      <c r="F348" s="20">
        <v>39</v>
      </c>
      <c r="G348" s="14">
        <f>15</f>
        <v>15</v>
      </c>
      <c r="H348" s="15">
        <f t="shared" si="14"/>
        <v>585</v>
      </c>
      <c r="I348" s="27">
        <v>3.696</v>
      </c>
      <c r="J348" s="27">
        <f t="shared" si="15"/>
        <v>55.440000000000005</v>
      </c>
      <c r="K348" s="19" t="s">
        <v>18</v>
      </c>
      <c r="L348" s="36"/>
      <c r="V348" s="2"/>
    </row>
    <row r="349" spans="1:22" s="1" customFormat="1" ht="12.75">
      <c r="A349" s="11">
        <v>90548</v>
      </c>
      <c r="B349" s="14" t="s">
        <v>146</v>
      </c>
      <c r="C349" s="14" t="s">
        <v>478</v>
      </c>
      <c r="D349" s="38" t="s">
        <v>438</v>
      </c>
      <c r="E349" s="38" t="s">
        <v>488</v>
      </c>
      <c r="F349" s="20">
        <v>45</v>
      </c>
      <c r="G349" s="14">
        <f>33</f>
        <v>33</v>
      </c>
      <c r="H349" s="15">
        <f t="shared" si="14"/>
        <v>1485</v>
      </c>
      <c r="I349" s="27">
        <v>4.34</v>
      </c>
      <c r="J349" s="27">
        <f t="shared" si="15"/>
        <v>143.22</v>
      </c>
      <c r="K349" s="19" t="s">
        <v>18</v>
      </c>
      <c r="L349" s="36"/>
      <c r="V349" s="2"/>
    </row>
    <row r="350" spans="1:22" s="1" customFormat="1" ht="25.5">
      <c r="A350" s="11">
        <v>90567</v>
      </c>
      <c r="B350" s="14" t="s">
        <v>147</v>
      </c>
      <c r="C350" s="14" t="s">
        <v>138</v>
      </c>
      <c r="D350" s="38" t="s">
        <v>139</v>
      </c>
      <c r="E350" s="38" t="s">
        <v>111</v>
      </c>
      <c r="F350" s="20">
        <v>3.14</v>
      </c>
      <c r="G350" s="14">
        <f>640+627+114</f>
        <v>1381</v>
      </c>
      <c r="H350" s="15">
        <f t="shared" si="14"/>
        <v>4336.34</v>
      </c>
      <c r="I350" s="27">
        <v>0.308</v>
      </c>
      <c r="J350" s="27">
        <f t="shared" si="15"/>
        <v>425.348</v>
      </c>
      <c r="K350" s="19" t="s">
        <v>18</v>
      </c>
      <c r="L350" s="36"/>
      <c r="V350" s="2"/>
    </row>
    <row r="351" spans="1:22" s="1" customFormat="1" ht="25.5">
      <c r="A351" s="11">
        <v>90639</v>
      </c>
      <c r="B351" s="14" t="s">
        <v>148</v>
      </c>
      <c r="C351" s="14" t="s">
        <v>478</v>
      </c>
      <c r="D351" s="38" t="s">
        <v>438</v>
      </c>
      <c r="E351" s="38" t="s">
        <v>149</v>
      </c>
      <c r="F351" s="20">
        <v>12</v>
      </c>
      <c r="G351" s="14">
        <f>9</f>
        <v>9</v>
      </c>
      <c r="H351" s="15">
        <f t="shared" si="14"/>
        <v>108</v>
      </c>
      <c r="I351" s="27">
        <v>1.1480000000000001</v>
      </c>
      <c r="J351" s="27">
        <f t="shared" si="15"/>
        <v>10.332</v>
      </c>
      <c r="K351" s="19" t="s">
        <v>18</v>
      </c>
      <c r="L351" s="36"/>
      <c r="V351" s="2"/>
    </row>
    <row r="352" spans="1:22" s="1" customFormat="1" ht="25.5">
      <c r="A352" s="11">
        <v>90640</v>
      </c>
      <c r="B352" s="14" t="s">
        <v>150</v>
      </c>
      <c r="C352" s="14" t="s">
        <v>478</v>
      </c>
      <c r="D352" s="38" t="s">
        <v>438</v>
      </c>
      <c r="E352" s="38" t="s">
        <v>149</v>
      </c>
      <c r="F352" s="20">
        <v>14</v>
      </c>
      <c r="G352" s="14">
        <v>28</v>
      </c>
      <c r="H352" s="15">
        <f t="shared" si="14"/>
        <v>392</v>
      </c>
      <c r="I352" s="27">
        <v>1.1760000000000002</v>
      </c>
      <c r="J352" s="27">
        <f t="shared" si="15"/>
        <v>32.928000000000004</v>
      </c>
      <c r="K352" s="19" t="s">
        <v>18</v>
      </c>
      <c r="L352" s="36"/>
      <c r="V352" s="2"/>
    </row>
    <row r="353" spans="1:22" s="1" customFormat="1" ht="25.5">
      <c r="A353" s="11">
        <v>90641</v>
      </c>
      <c r="B353" s="14" t="s">
        <v>151</v>
      </c>
      <c r="C353" s="14" t="s">
        <v>478</v>
      </c>
      <c r="D353" s="38" t="s">
        <v>438</v>
      </c>
      <c r="E353" s="38" t="s">
        <v>149</v>
      </c>
      <c r="F353" s="20">
        <v>12</v>
      </c>
      <c r="G353" s="14">
        <v>35</v>
      </c>
      <c r="H353" s="15">
        <f t="shared" si="14"/>
        <v>420</v>
      </c>
      <c r="I353" s="27">
        <v>1.1480000000000001</v>
      </c>
      <c r="J353" s="27">
        <f t="shared" si="15"/>
        <v>40.18000000000001</v>
      </c>
      <c r="K353" s="19" t="s">
        <v>18</v>
      </c>
      <c r="L353" s="36"/>
      <c r="V353" s="2"/>
    </row>
    <row r="354" spans="1:22" s="1" customFormat="1" ht="12.75">
      <c r="A354" s="11">
        <v>90642</v>
      </c>
      <c r="B354" s="14" t="s">
        <v>152</v>
      </c>
      <c r="C354" s="14" t="s">
        <v>478</v>
      </c>
      <c r="D354" s="38" t="s">
        <v>438</v>
      </c>
      <c r="E354" s="38" t="s">
        <v>480</v>
      </c>
      <c r="F354" s="20">
        <v>10</v>
      </c>
      <c r="G354" s="14">
        <v>48</v>
      </c>
      <c r="H354" s="15">
        <f t="shared" si="14"/>
        <v>480</v>
      </c>
      <c r="I354" s="27">
        <v>0.98</v>
      </c>
      <c r="J354" s="27">
        <f t="shared" si="15"/>
        <v>47.04</v>
      </c>
      <c r="K354" s="19" t="s">
        <v>18</v>
      </c>
      <c r="L354" s="36"/>
      <c r="V354" s="2"/>
    </row>
    <row r="355" spans="1:22" s="1" customFormat="1" ht="12.75">
      <c r="A355" s="11">
        <v>90643</v>
      </c>
      <c r="B355" s="14" t="s">
        <v>153</v>
      </c>
      <c r="C355" s="14" t="s">
        <v>478</v>
      </c>
      <c r="D355" s="38" t="s">
        <v>438</v>
      </c>
      <c r="E355" s="38" t="s">
        <v>480</v>
      </c>
      <c r="F355" s="20">
        <v>12</v>
      </c>
      <c r="G355" s="14">
        <v>36</v>
      </c>
      <c r="H355" s="15">
        <f t="shared" si="14"/>
        <v>432</v>
      </c>
      <c r="I355" s="27">
        <v>1.1480000000000001</v>
      </c>
      <c r="J355" s="27">
        <f t="shared" si="15"/>
        <v>41.328</v>
      </c>
      <c r="K355" s="19" t="s">
        <v>18</v>
      </c>
      <c r="L355" s="36"/>
      <c r="V355" s="2"/>
    </row>
    <row r="356" spans="1:22" s="1" customFormat="1" ht="12.75">
      <c r="A356" s="11">
        <v>90644</v>
      </c>
      <c r="B356" s="14" t="s">
        <v>154</v>
      </c>
      <c r="C356" s="14" t="s">
        <v>478</v>
      </c>
      <c r="D356" s="38" t="s">
        <v>438</v>
      </c>
      <c r="E356" s="38" t="s">
        <v>488</v>
      </c>
      <c r="F356" s="20">
        <v>15</v>
      </c>
      <c r="G356" s="14">
        <v>46</v>
      </c>
      <c r="H356" s="15">
        <f t="shared" si="14"/>
        <v>690</v>
      </c>
      <c r="I356" s="27">
        <v>1.456</v>
      </c>
      <c r="J356" s="27">
        <f t="shared" si="15"/>
        <v>66.976</v>
      </c>
      <c r="K356" s="19" t="s">
        <v>18</v>
      </c>
      <c r="L356" s="36"/>
      <c r="V356" s="2"/>
    </row>
    <row r="357" spans="1:22" s="1" customFormat="1" ht="12.75">
      <c r="A357" s="11">
        <v>90645</v>
      </c>
      <c r="B357" s="14" t="s">
        <v>155</v>
      </c>
      <c r="C357" s="14" t="s">
        <v>478</v>
      </c>
      <c r="D357" s="38" t="s">
        <v>438</v>
      </c>
      <c r="E357" s="38" t="s">
        <v>488</v>
      </c>
      <c r="F357" s="20">
        <v>14</v>
      </c>
      <c r="G357" s="14">
        <v>43</v>
      </c>
      <c r="H357" s="15">
        <f t="shared" si="14"/>
        <v>602</v>
      </c>
      <c r="I357" s="27">
        <v>1.1760000000000002</v>
      </c>
      <c r="J357" s="27">
        <f t="shared" si="15"/>
        <v>50.568000000000005</v>
      </c>
      <c r="K357" s="19" t="s">
        <v>18</v>
      </c>
      <c r="L357" s="36"/>
      <c r="V357" s="2"/>
    </row>
    <row r="358" spans="1:22" s="1" customFormat="1" ht="12.75">
      <c r="A358" s="11">
        <v>90646</v>
      </c>
      <c r="B358" s="14" t="s">
        <v>156</v>
      </c>
      <c r="C358" s="14" t="s">
        <v>478</v>
      </c>
      <c r="D358" s="38" t="s">
        <v>438</v>
      </c>
      <c r="E358" s="38" t="s">
        <v>157</v>
      </c>
      <c r="F358" s="20">
        <v>15</v>
      </c>
      <c r="G358" s="14">
        <v>48</v>
      </c>
      <c r="H358" s="15">
        <f t="shared" si="14"/>
        <v>720</v>
      </c>
      <c r="I358" s="27">
        <v>1.456</v>
      </c>
      <c r="J358" s="27">
        <f t="shared" si="15"/>
        <v>69.888</v>
      </c>
      <c r="K358" s="19" t="s">
        <v>18</v>
      </c>
      <c r="L358" s="36"/>
      <c r="V358" s="2"/>
    </row>
    <row r="359" spans="1:22" s="1" customFormat="1" ht="12.75">
      <c r="A359" s="11">
        <v>90647</v>
      </c>
      <c r="B359" s="14" t="s">
        <v>158</v>
      </c>
      <c r="C359" s="14" t="s">
        <v>478</v>
      </c>
      <c r="D359" s="38" t="s">
        <v>438</v>
      </c>
      <c r="E359" s="38" t="s">
        <v>157</v>
      </c>
      <c r="F359" s="20">
        <v>15</v>
      </c>
      <c r="G359" s="14">
        <v>38</v>
      </c>
      <c r="H359" s="15">
        <f t="shared" si="14"/>
        <v>570</v>
      </c>
      <c r="I359" s="27">
        <v>1.456</v>
      </c>
      <c r="J359" s="27">
        <f t="shared" si="15"/>
        <v>55.327999999999996</v>
      </c>
      <c r="K359" s="19" t="s">
        <v>18</v>
      </c>
      <c r="L359" s="36"/>
      <c r="V359" s="2"/>
    </row>
    <row r="360" spans="1:22" s="1" customFormat="1" ht="12.75">
      <c r="A360" s="11">
        <v>90648</v>
      </c>
      <c r="B360" s="14" t="s">
        <v>159</v>
      </c>
      <c r="C360" s="14" t="s">
        <v>478</v>
      </c>
      <c r="D360" s="38" t="s">
        <v>438</v>
      </c>
      <c r="E360" s="38" t="s">
        <v>157</v>
      </c>
      <c r="F360" s="20">
        <v>14</v>
      </c>
      <c r="G360" s="14">
        <v>41</v>
      </c>
      <c r="H360" s="15">
        <f t="shared" si="14"/>
        <v>574</v>
      </c>
      <c r="I360" s="27">
        <v>1.204</v>
      </c>
      <c r="J360" s="27">
        <f t="shared" si="15"/>
        <v>49.364</v>
      </c>
      <c r="K360" s="19" t="s">
        <v>18</v>
      </c>
      <c r="L360" s="36"/>
      <c r="V360" s="2"/>
    </row>
    <row r="361" spans="1:22" s="1" customFormat="1" ht="12.75">
      <c r="A361" s="11">
        <v>90650</v>
      </c>
      <c r="B361" s="14" t="s">
        <v>160</v>
      </c>
      <c r="C361" s="14" t="s">
        <v>478</v>
      </c>
      <c r="D361" s="38" t="s">
        <v>438</v>
      </c>
      <c r="E361" s="38" t="s">
        <v>161</v>
      </c>
      <c r="F361" s="20">
        <v>41</v>
      </c>
      <c r="G361" s="14">
        <f>24</f>
        <v>24</v>
      </c>
      <c r="H361" s="15">
        <f t="shared" si="14"/>
        <v>984</v>
      </c>
      <c r="I361" s="27">
        <v>4</v>
      </c>
      <c r="J361" s="27">
        <f t="shared" si="15"/>
        <v>96</v>
      </c>
      <c r="K361" s="19" t="s">
        <v>18</v>
      </c>
      <c r="L361" s="36"/>
      <c r="V361" s="2"/>
    </row>
    <row r="362" spans="1:22" s="1" customFormat="1" ht="12.75">
      <c r="A362" s="11">
        <v>90651</v>
      </c>
      <c r="B362" s="14" t="s">
        <v>162</v>
      </c>
      <c r="C362" s="14" t="s">
        <v>478</v>
      </c>
      <c r="D362" s="38" t="s">
        <v>438</v>
      </c>
      <c r="E362" s="38" t="s">
        <v>161</v>
      </c>
      <c r="F362" s="20">
        <v>41</v>
      </c>
      <c r="G362" s="14">
        <f>34</f>
        <v>34</v>
      </c>
      <c r="H362" s="15">
        <f t="shared" si="14"/>
        <v>1394</v>
      </c>
      <c r="I362" s="27">
        <v>4</v>
      </c>
      <c r="J362" s="27">
        <f t="shared" si="15"/>
        <v>136</v>
      </c>
      <c r="K362" s="19" t="s">
        <v>18</v>
      </c>
      <c r="L362" s="36"/>
      <c r="V362" s="2"/>
    </row>
    <row r="363" spans="1:22" s="1" customFormat="1" ht="12.75">
      <c r="A363" s="11">
        <v>90652</v>
      </c>
      <c r="B363" s="14" t="s">
        <v>163</v>
      </c>
      <c r="C363" s="14" t="s">
        <v>478</v>
      </c>
      <c r="D363" s="38" t="s">
        <v>438</v>
      </c>
      <c r="E363" s="14" t="s">
        <v>161</v>
      </c>
      <c r="F363" s="20">
        <v>41</v>
      </c>
      <c r="G363" s="14">
        <f>27</f>
        <v>27</v>
      </c>
      <c r="H363" s="15">
        <f t="shared" si="14"/>
        <v>1107</v>
      </c>
      <c r="I363" s="27">
        <v>4</v>
      </c>
      <c r="J363" s="27">
        <f t="shared" si="15"/>
        <v>108</v>
      </c>
      <c r="K363" s="19" t="s">
        <v>18</v>
      </c>
      <c r="L363" s="36"/>
      <c r="V363" s="2"/>
    </row>
    <row r="364" spans="1:22" s="1" customFormat="1" ht="25.5">
      <c r="A364" s="11">
        <v>90734</v>
      </c>
      <c r="B364" s="14" t="s">
        <v>164</v>
      </c>
      <c r="C364" s="14" t="s">
        <v>437</v>
      </c>
      <c r="D364" s="14" t="s">
        <v>165</v>
      </c>
      <c r="E364" s="14" t="s">
        <v>143</v>
      </c>
      <c r="F364" s="20">
        <v>19</v>
      </c>
      <c r="G364" s="14">
        <f>19</f>
        <v>19</v>
      </c>
      <c r="H364" s="15">
        <f t="shared" si="14"/>
        <v>361</v>
      </c>
      <c r="I364" s="27">
        <v>1.736</v>
      </c>
      <c r="J364" s="27">
        <f t="shared" si="15"/>
        <v>32.984</v>
      </c>
      <c r="K364" s="19" t="s">
        <v>18</v>
      </c>
      <c r="L364" s="36"/>
      <c r="V364" s="2"/>
    </row>
    <row r="365" spans="1:22" s="1" customFormat="1" ht="25.5">
      <c r="A365" s="11">
        <v>90735</v>
      </c>
      <c r="B365" s="14" t="s">
        <v>166</v>
      </c>
      <c r="C365" s="14" t="s">
        <v>437</v>
      </c>
      <c r="D365" s="14" t="s">
        <v>165</v>
      </c>
      <c r="E365" s="14" t="s">
        <v>143</v>
      </c>
      <c r="F365" s="20">
        <v>12.5</v>
      </c>
      <c r="G365" s="14">
        <f>2</f>
        <v>2</v>
      </c>
      <c r="H365" s="15">
        <f t="shared" si="14"/>
        <v>25</v>
      </c>
      <c r="I365" s="27">
        <v>1.1480000000000001</v>
      </c>
      <c r="J365" s="27">
        <f t="shared" si="15"/>
        <v>2.2960000000000003</v>
      </c>
      <c r="K365" s="39"/>
      <c r="L365" s="40"/>
      <c r="V365" s="2"/>
    </row>
    <row r="366" spans="1:22" s="1" customFormat="1" ht="25.5">
      <c r="A366" s="11">
        <v>90737</v>
      </c>
      <c r="B366" s="14" t="s">
        <v>167</v>
      </c>
      <c r="C366" s="14" t="s">
        <v>437</v>
      </c>
      <c r="D366" s="14" t="s">
        <v>165</v>
      </c>
      <c r="E366" s="14" t="s">
        <v>143</v>
      </c>
      <c r="F366" s="20">
        <v>21</v>
      </c>
      <c r="G366" s="14">
        <f>4</f>
        <v>4</v>
      </c>
      <c r="H366" s="15">
        <f t="shared" si="14"/>
        <v>84</v>
      </c>
      <c r="I366" s="27">
        <v>1.932</v>
      </c>
      <c r="J366" s="27">
        <f t="shared" si="15"/>
        <v>7.728</v>
      </c>
      <c r="K366" s="19"/>
      <c r="L366" s="36"/>
      <c r="V366" s="2"/>
    </row>
    <row r="367" spans="1:22" s="1" customFormat="1" ht="25.5">
      <c r="A367" s="89">
        <v>90740</v>
      </c>
      <c r="B367" s="90" t="s">
        <v>168</v>
      </c>
      <c r="C367" s="90" t="s">
        <v>437</v>
      </c>
      <c r="D367" s="90" t="s">
        <v>165</v>
      </c>
      <c r="E367" s="90" t="s">
        <v>169</v>
      </c>
      <c r="F367" s="91">
        <v>51</v>
      </c>
      <c r="G367" s="90">
        <f>2-2</f>
        <v>0</v>
      </c>
      <c r="H367" s="92">
        <f t="shared" si="14"/>
        <v>0</v>
      </c>
      <c r="I367" s="93">
        <v>4.816</v>
      </c>
      <c r="J367" s="93">
        <f t="shared" si="15"/>
        <v>0</v>
      </c>
      <c r="K367" s="94" t="s">
        <v>18</v>
      </c>
      <c r="L367" s="36"/>
      <c r="V367" s="2"/>
    </row>
    <row r="368" spans="1:21" ht="12.75">
      <c r="A368" s="11">
        <v>90742</v>
      </c>
      <c r="B368" s="14" t="s">
        <v>170</v>
      </c>
      <c r="C368" s="14" t="s">
        <v>478</v>
      </c>
      <c r="D368" s="14" t="s">
        <v>438</v>
      </c>
      <c r="E368" s="14" t="s">
        <v>484</v>
      </c>
      <c r="F368" s="20">
        <v>24.5</v>
      </c>
      <c r="G368" s="14">
        <f>6</f>
        <v>6</v>
      </c>
      <c r="H368" s="15">
        <f t="shared" si="14"/>
        <v>147</v>
      </c>
      <c r="I368" s="27">
        <v>2.268</v>
      </c>
      <c r="J368" s="27">
        <f t="shared" si="15"/>
        <v>13.607999999999999</v>
      </c>
      <c r="K368" s="19" t="s">
        <v>18</v>
      </c>
      <c r="L368" s="36"/>
      <c r="U368" s="1"/>
    </row>
    <row r="369" spans="1:21" ht="25.5">
      <c r="A369" s="89">
        <v>90774</v>
      </c>
      <c r="B369" s="95" t="s">
        <v>171</v>
      </c>
      <c r="C369" s="90" t="s">
        <v>437</v>
      </c>
      <c r="D369" s="90" t="s">
        <v>450</v>
      </c>
      <c r="E369" s="90" t="s">
        <v>476</v>
      </c>
      <c r="F369" s="91">
        <v>18</v>
      </c>
      <c r="G369" s="90">
        <f>7+10-10</f>
        <v>7</v>
      </c>
      <c r="H369" s="92">
        <f t="shared" si="14"/>
        <v>126</v>
      </c>
      <c r="I369" s="93">
        <v>1.736</v>
      </c>
      <c r="J369" s="93">
        <f t="shared" si="15"/>
        <v>12.152</v>
      </c>
      <c r="K369" s="94" t="s">
        <v>18</v>
      </c>
      <c r="L369" s="36"/>
      <c r="U369" s="1"/>
    </row>
    <row r="370" spans="1:21" ht="25.5">
      <c r="A370" s="89">
        <v>90775</v>
      </c>
      <c r="B370" s="95" t="s">
        <v>172</v>
      </c>
      <c r="C370" s="90" t="s">
        <v>437</v>
      </c>
      <c r="D370" s="90" t="s">
        <v>450</v>
      </c>
      <c r="E370" s="90" t="s">
        <v>476</v>
      </c>
      <c r="F370" s="91">
        <v>18</v>
      </c>
      <c r="G370" s="90">
        <f>6+3-9</f>
        <v>0</v>
      </c>
      <c r="H370" s="92">
        <f t="shared" si="14"/>
        <v>0</v>
      </c>
      <c r="I370" s="93">
        <v>1.736</v>
      </c>
      <c r="J370" s="93">
        <f t="shared" si="15"/>
        <v>0</v>
      </c>
      <c r="K370" s="94" t="s">
        <v>18</v>
      </c>
      <c r="L370" s="36"/>
      <c r="U370" s="1"/>
    </row>
    <row r="371" spans="1:21" ht="25.5">
      <c r="A371" s="89">
        <v>90777</v>
      </c>
      <c r="B371" s="95" t="s">
        <v>173</v>
      </c>
      <c r="C371" s="90" t="s">
        <v>437</v>
      </c>
      <c r="D371" s="90" t="s">
        <v>450</v>
      </c>
      <c r="E371" s="90" t="s">
        <v>174</v>
      </c>
      <c r="F371" s="91">
        <v>2.25</v>
      </c>
      <c r="G371" s="90">
        <f>200-200</f>
        <v>0</v>
      </c>
      <c r="H371" s="92">
        <f t="shared" si="14"/>
        <v>0</v>
      </c>
      <c r="I371" s="93">
        <v>0.22400000000000003</v>
      </c>
      <c r="J371" s="93">
        <f t="shared" si="15"/>
        <v>0</v>
      </c>
      <c r="K371" s="94" t="s">
        <v>18</v>
      </c>
      <c r="L371" s="36"/>
      <c r="U371" s="1"/>
    </row>
    <row r="372" spans="1:21" ht="25.5">
      <c r="A372" s="11">
        <v>90785</v>
      </c>
      <c r="B372" s="14" t="s">
        <v>175</v>
      </c>
      <c r="C372" s="14" t="s">
        <v>437</v>
      </c>
      <c r="D372" s="14" t="s">
        <v>450</v>
      </c>
      <c r="E372" s="14" t="s">
        <v>174</v>
      </c>
      <c r="F372" s="20">
        <v>2.4</v>
      </c>
      <c r="G372" s="14">
        <v>92</v>
      </c>
      <c r="H372" s="15">
        <f t="shared" si="14"/>
        <v>220.79999999999998</v>
      </c>
      <c r="I372" s="27">
        <v>0.22400000000000003</v>
      </c>
      <c r="J372" s="27">
        <f t="shared" si="15"/>
        <v>20.608000000000004</v>
      </c>
      <c r="K372" s="19" t="s">
        <v>18</v>
      </c>
      <c r="L372" s="36"/>
      <c r="U372" s="1"/>
    </row>
    <row r="373" spans="1:21" ht="25.5">
      <c r="A373" s="11">
        <v>90786</v>
      </c>
      <c r="B373" s="38" t="s">
        <v>176</v>
      </c>
      <c r="C373" s="14" t="s">
        <v>437</v>
      </c>
      <c r="D373" s="14" t="s">
        <v>450</v>
      </c>
      <c r="E373" s="14" t="s">
        <v>177</v>
      </c>
      <c r="F373" s="20">
        <v>7.1</v>
      </c>
      <c r="G373" s="14">
        <f>167</f>
        <v>167</v>
      </c>
      <c r="H373" s="15">
        <f t="shared" si="14"/>
        <v>1185.7</v>
      </c>
      <c r="I373" s="27">
        <v>0.616</v>
      </c>
      <c r="J373" s="27">
        <f t="shared" si="15"/>
        <v>102.872</v>
      </c>
      <c r="K373" s="19" t="s">
        <v>18</v>
      </c>
      <c r="L373" s="36"/>
      <c r="U373" s="1"/>
    </row>
    <row r="374" spans="1:21" ht="25.5">
      <c r="A374" s="11">
        <v>90787</v>
      </c>
      <c r="B374" s="14" t="s">
        <v>178</v>
      </c>
      <c r="C374" s="14" t="s">
        <v>437</v>
      </c>
      <c r="D374" s="14" t="s">
        <v>450</v>
      </c>
      <c r="E374" s="14" t="s">
        <v>177</v>
      </c>
      <c r="F374" s="20">
        <v>7.1</v>
      </c>
      <c r="G374" s="14">
        <f>31</f>
        <v>31</v>
      </c>
      <c r="H374" s="15">
        <f t="shared" si="14"/>
        <v>220.1</v>
      </c>
      <c r="I374" s="27">
        <v>0.616</v>
      </c>
      <c r="J374" s="27">
        <f t="shared" si="15"/>
        <v>19.096</v>
      </c>
      <c r="K374" s="19" t="s">
        <v>18</v>
      </c>
      <c r="L374" s="36"/>
      <c r="U374" s="1"/>
    </row>
    <row r="375" spans="1:21" ht="25.5">
      <c r="A375" s="11">
        <v>90808</v>
      </c>
      <c r="B375" s="14" t="s">
        <v>179</v>
      </c>
      <c r="C375" s="14" t="s">
        <v>109</v>
      </c>
      <c r="D375" s="14" t="s">
        <v>180</v>
      </c>
      <c r="E375" s="14" t="s">
        <v>111</v>
      </c>
      <c r="F375" s="20">
        <v>33.5</v>
      </c>
      <c r="G375" s="14">
        <f>9+3</f>
        <v>12</v>
      </c>
      <c r="H375" s="15">
        <f t="shared" si="14"/>
        <v>402</v>
      </c>
      <c r="I375" s="27">
        <v>3.136</v>
      </c>
      <c r="J375" s="27">
        <f t="shared" si="15"/>
        <v>37.632000000000005</v>
      </c>
      <c r="K375" s="19" t="s">
        <v>18</v>
      </c>
      <c r="L375" s="36"/>
      <c r="U375" s="1"/>
    </row>
    <row r="376" spans="1:21" ht="12.75">
      <c r="A376" s="89">
        <v>90816</v>
      </c>
      <c r="B376" s="95" t="s">
        <v>181</v>
      </c>
      <c r="C376" s="90" t="s">
        <v>437</v>
      </c>
      <c r="D376" s="90" t="s">
        <v>438</v>
      </c>
      <c r="E376" s="90" t="s">
        <v>135</v>
      </c>
      <c r="F376" s="91">
        <v>32.5</v>
      </c>
      <c r="G376" s="90">
        <f>6-6</f>
        <v>0</v>
      </c>
      <c r="H376" s="92">
        <f t="shared" si="14"/>
        <v>0</v>
      </c>
      <c r="I376" s="93">
        <v>3.192</v>
      </c>
      <c r="J376" s="93">
        <f t="shared" si="15"/>
        <v>0</v>
      </c>
      <c r="K376" s="94" t="s">
        <v>18</v>
      </c>
      <c r="L376" s="36"/>
      <c r="U376" s="1"/>
    </row>
    <row r="377" spans="1:21" ht="12.75">
      <c r="A377" s="11">
        <v>90817</v>
      </c>
      <c r="B377" s="38" t="s">
        <v>412</v>
      </c>
      <c r="C377" s="14" t="s">
        <v>109</v>
      </c>
      <c r="D377" s="14" t="s">
        <v>110</v>
      </c>
      <c r="E377" s="14" t="s">
        <v>111</v>
      </c>
      <c r="F377" s="20">
        <v>21.9</v>
      </c>
      <c r="G377" s="14">
        <f>49-10-1-7</f>
        <v>31</v>
      </c>
      <c r="H377" s="15">
        <f t="shared" si="14"/>
        <v>678.9</v>
      </c>
      <c r="I377" s="27">
        <v>1.988</v>
      </c>
      <c r="J377" s="27">
        <f t="shared" si="15"/>
        <v>61.628</v>
      </c>
      <c r="K377" s="19" t="s">
        <v>18</v>
      </c>
      <c r="L377" s="36"/>
      <c r="U377" s="1"/>
    </row>
    <row r="378" spans="1:20" s="4" customFormat="1" ht="27.75" customHeight="1">
      <c r="A378" s="220" t="s">
        <v>182</v>
      </c>
      <c r="B378" s="221"/>
      <c r="C378" s="221"/>
      <c r="D378" s="41"/>
      <c r="E378" s="41"/>
      <c r="F378" s="41"/>
      <c r="G378" s="41"/>
      <c r="H378" s="41"/>
      <c r="I378" s="42"/>
      <c r="J378" s="43">
        <f>SUM(J282:J377)</f>
        <v>5608.22</v>
      </c>
      <c r="K378" s="44"/>
      <c r="L378" s="1"/>
      <c r="M378" s="1"/>
      <c r="N378" s="3"/>
      <c r="O378" s="3"/>
      <c r="P378" s="3"/>
      <c r="Q378" s="3"/>
      <c r="R378" s="3"/>
      <c r="S378" s="3"/>
      <c r="T378" s="3"/>
    </row>
    <row r="379" spans="1:11" ht="19.5" customHeight="1">
      <c r="A379" s="211" t="s">
        <v>183</v>
      </c>
      <c r="B379" s="198"/>
      <c r="C379" s="198"/>
      <c r="D379" s="198"/>
      <c r="E379" s="198"/>
      <c r="F379" s="198"/>
      <c r="G379" s="198"/>
      <c r="H379" s="198"/>
      <c r="I379" s="198"/>
      <c r="J379" s="43">
        <f>J378+J279</f>
        <v>9918.3754</v>
      </c>
      <c r="K379" s="44"/>
    </row>
    <row r="380" spans="1:11" ht="15">
      <c r="A380" s="199" t="s">
        <v>184</v>
      </c>
      <c r="B380" s="200"/>
      <c r="C380" s="200"/>
      <c r="D380" s="200"/>
      <c r="E380" s="200"/>
      <c r="F380" s="200"/>
      <c r="G380" s="200"/>
      <c r="H380" s="200"/>
      <c r="I380" s="200"/>
      <c r="J380" s="200"/>
      <c r="K380" s="45"/>
    </row>
    <row r="381" spans="1:20" ht="90">
      <c r="A381" s="201" t="s">
        <v>185</v>
      </c>
      <c r="B381" s="202"/>
      <c r="C381" s="30"/>
      <c r="D381" s="30"/>
      <c r="E381" s="30"/>
      <c r="F381" s="33" t="s">
        <v>186</v>
      </c>
      <c r="G381" s="33" t="s">
        <v>187</v>
      </c>
      <c r="H381" s="33" t="s">
        <v>188</v>
      </c>
      <c r="I381" s="46" t="s">
        <v>9</v>
      </c>
      <c r="J381" s="47" t="s">
        <v>10</v>
      </c>
      <c r="K381" s="48"/>
      <c r="S381" s="2"/>
      <c r="T381" s="2"/>
    </row>
    <row r="382" spans="1:20" ht="51" customHeight="1">
      <c r="A382" s="218" t="s">
        <v>189</v>
      </c>
      <c r="B382" s="219"/>
      <c r="C382" s="30"/>
      <c r="D382" s="30"/>
      <c r="E382" s="30"/>
      <c r="F382" s="50">
        <f>1100-1</f>
        <v>1099</v>
      </c>
      <c r="G382" s="33" t="s">
        <v>190</v>
      </c>
      <c r="H382" s="27">
        <v>0.2</v>
      </c>
      <c r="I382" s="26">
        <f aca="true" t="shared" si="16" ref="I382:I400">F382*H382</f>
        <v>219.8</v>
      </c>
      <c r="J382" s="37" t="s">
        <v>18</v>
      </c>
      <c r="K382" s="51"/>
      <c r="T382" s="2"/>
    </row>
    <row r="383" spans="1:20" ht="89.25" customHeight="1">
      <c r="A383" s="218" t="s">
        <v>191</v>
      </c>
      <c r="B383" s="219"/>
      <c r="C383" s="30"/>
      <c r="D383" s="30"/>
      <c r="E383" s="30"/>
      <c r="F383" s="50">
        <f>1545-1</f>
        <v>1544</v>
      </c>
      <c r="G383" s="33" t="s">
        <v>190</v>
      </c>
      <c r="H383" s="27">
        <v>0.2</v>
      </c>
      <c r="I383" s="26">
        <f t="shared" si="16"/>
        <v>308.8</v>
      </c>
      <c r="J383" s="37" t="s">
        <v>18</v>
      </c>
      <c r="K383" s="51"/>
      <c r="T383" s="2"/>
    </row>
    <row r="384" spans="1:20" ht="51" customHeight="1">
      <c r="A384" s="218" t="s">
        <v>192</v>
      </c>
      <c r="B384" s="219"/>
      <c r="C384" s="30"/>
      <c r="D384" s="30"/>
      <c r="E384" s="30"/>
      <c r="F384" s="50">
        <f>4000-1</f>
        <v>3999</v>
      </c>
      <c r="G384" s="33" t="s">
        <v>190</v>
      </c>
      <c r="H384" s="27">
        <v>0.2</v>
      </c>
      <c r="I384" s="26">
        <f t="shared" si="16"/>
        <v>799.8000000000001</v>
      </c>
      <c r="J384" s="37" t="s">
        <v>18</v>
      </c>
      <c r="K384" s="51"/>
      <c r="T384" s="2"/>
    </row>
    <row r="385" spans="1:20" ht="25.5">
      <c r="A385" s="209" t="s">
        <v>193</v>
      </c>
      <c r="B385" s="210"/>
      <c r="C385" s="30"/>
      <c r="D385" s="30"/>
      <c r="E385" s="30"/>
      <c r="F385" s="52">
        <f>494-10-2-34</f>
        <v>448</v>
      </c>
      <c r="G385" s="33" t="s">
        <v>190</v>
      </c>
      <c r="H385" s="27">
        <v>0.2</v>
      </c>
      <c r="I385" s="26">
        <f t="shared" si="16"/>
        <v>89.60000000000001</v>
      </c>
      <c r="J385" s="37" t="s">
        <v>18</v>
      </c>
      <c r="K385" s="51"/>
      <c r="T385" s="2"/>
    </row>
    <row r="386" spans="1:20" ht="30.75" customHeight="1">
      <c r="A386" s="218" t="s">
        <v>194</v>
      </c>
      <c r="B386" s="219"/>
      <c r="C386" s="30"/>
      <c r="D386" s="30"/>
      <c r="E386" s="30"/>
      <c r="F386" s="52">
        <v>400</v>
      </c>
      <c r="G386" s="33" t="s">
        <v>190</v>
      </c>
      <c r="H386" s="27">
        <v>0.25</v>
      </c>
      <c r="I386" s="26">
        <f t="shared" si="16"/>
        <v>100</v>
      </c>
      <c r="J386" s="37" t="s">
        <v>18</v>
      </c>
      <c r="K386" s="51"/>
      <c r="T386" s="2"/>
    </row>
    <row r="387" spans="1:20" ht="35.25" customHeight="1">
      <c r="A387" s="218" t="s">
        <v>195</v>
      </c>
      <c r="B387" s="219"/>
      <c r="C387" s="30"/>
      <c r="D387" s="30"/>
      <c r="E387" s="30"/>
      <c r="F387" s="52">
        <v>750</v>
      </c>
      <c r="G387" s="33" t="s">
        <v>190</v>
      </c>
      <c r="H387" s="27">
        <v>0.25</v>
      </c>
      <c r="I387" s="26">
        <f t="shared" si="16"/>
        <v>187.5</v>
      </c>
      <c r="J387" s="37" t="s">
        <v>18</v>
      </c>
      <c r="K387" s="51"/>
      <c r="T387" s="2"/>
    </row>
    <row r="388" spans="1:20" ht="25.5">
      <c r="A388" s="209" t="s">
        <v>196</v>
      </c>
      <c r="B388" s="210"/>
      <c r="C388" s="30"/>
      <c r="D388" s="30"/>
      <c r="E388" s="30"/>
      <c r="F388" s="52">
        <v>240</v>
      </c>
      <c r="G388" s="33" t="s">
        <v>190</v>
      </c>
      <c r="H388" s="27">
        <v>0.25</v>
      </c>
      <c r="I388" s="26">
        <f t="shared" si="16"/>
        <v>60</v>
      </c>
      <c r="J388" s="37" t="s">
        <v>18</v>
      </c>
      <c r="K388" s="51"/>
      <c r="T388" s="2"/>
    </row>
    <row r="389" spans="1:20" ht="30.75" customHeight="1">
      <c r="A389" s="218" t="s">
        <v>197</v>
      </c>
      <c r="B389" s="219"/>
      <c r="C389" s="30"/>
      <c r="D389" s="30"/>
      <c r="E389" s="30"/>
      <c r="F389" s="52">
        <v>38</v>
      </c>
      <c r="G389" s="33" t="s">
        <v>190</v>
      </c>
      <c r="H389" s="27">
        <v>0.25</v>
      </c>
      <c r="I389" s="26">
        <f t="shared" si="16"/>
        <v>9.5</v>
      </c>
      <c r="J389" s="37" t="s">
        <v>18</v>
      </c>
      <c r="K389" s="51"/>
      <c r="T389" s="2"/>
    </row>
    <row r="390" spans="1:20" ht="38.25" customHeight="1">
      <c r="A390" s="218" t="s">
        <v>198</v>
      </c>
      <c r="B390" s="219"/>
      <c r="C390" s="30"/>
      <c r="D390" s="30"/>
      <c r="E390" s="30"/>
      <c r="F390" s="52">
        <v>109</v>
      </c>
      <c r="G390" s="33" t="s">
        <v>190</v>
      </c>
      <c r="H390" s="27">
        <v>0.25</v>
      </c>
      <c r="I390" s="26">
        <f t="shared" si="16"/>
        <v>27.25</v>
      </c>
      <c r="J390" s="37" t="s">
        <v>18</v>
      </c>
      <c r="K390" s="51"/>
      <c r="T390" s="2"/>
    </row>
    <row r="391" spans="1:20" ht="34.5" customHeight="1">
      <c r="A391" s="218" t="s">
        <v>199</v>
      </c>
      <c r="B391" s="219"/>
      <c r="C391" s="30"/>
      <c r="D391" s="30"/>
      <c r="E391" s="30"/>
      <c r="F391" s="52">
        <v>32</v>
      </c>
      <c r="G391" s="33" t="s">
        <v>190</v>
      </c>
      <c r="H391" s="27">
        <v>0.25</v>
      </c>
      <c r="I391" s="26">
        <f t="shared" si="16"/>
        <v>8</v>
      </c>
      <c r="J391" s="37" t="s">
        <v>18</v>
      </c>
      <c r="K391" s="51"/>
      <c r="T391" s="2"/>
    </row>
    <row r="392" spans="1:20" ht="28.5" customHeight="1">
      <c r="A392" s="218" t="s">
        <v>200</v>
      </c>
      <c r="B392" s="219"/>
      <c r="C392" s="30"/>
      <c r="D392" s="30"/>
      <c r="E392" s="30"/>
      <c r="F392" s="52">
        <v>34</v>
      </c>
      <c r="G392" s="33" t="s">
        <v>190</v>
      </c>
      <c r="H392" s="27">
        <v>0.1</v>
      </c>
      <c r="I392" s="26">
        <f t="shared" si="16"/>
        <v>3.4000000000000004</v>
      </c>
      <c r="J392" s="37" t="s">
        <v>18</v>
      </c>
      <c r="K392" s="51"/>
      <c r="T392" s="2"/>
    </row>
    <row r="393" spans="1:20" ht="39" customHeight="1">
      <c r="A393" s="218" t="s">
        <v>201</v>
      </c>
      <c r="B393" s="219"/>
      <c r="C393" s="30"/>
      <c r="D393" s="30"/>
      <c r="E393" s="30"/>
      <c r="F393" s="52">
        <v>450</v>
      </c>
      <c r="G393" s="33" t="s">
        <v>190</v>
      </c>
      <c r="H393" s="27">
        <v>0.3</v>
      </c>
      <c r="I393" s="26">
        <f t="shared" si="16"/>
        <v>135</v>
      </c>
      <c r="J393" s="37" t="s">
        <v>18</v>
      </c>
      <c r="K393" s="51"/>
      <c r="T393" s="2"/>
    </row>
    <row r="394" spans="1:20" ht="24.75" customHeight="1">
      <c r="A394" s="218" t="s">
        <v>202</v>
      </c>
      <c r="B394" s="219"/>
      <c r="C394" s="33"/>
      <c r="D394" s="33"/>
      <c r="E394" s="33"/>
      <c r="F394" s="49">
        <v>200</v>
      </c>
      <c r="G394" s="33" t="s">
        <v>190</v>
      </c>
      <c r="H394" s="27">
        <v>0.3</v>
      </c>
      <c r="I394" s="26">
        <f t="shared" si="16"/>
        <v>60</v>
      </c>
      <c r="J394" s="53" t="s">
        <v>18</v>
      </c>
      <c r="K394" s="54"/>
      <c r="T394" s="2"/>
    </row>
    <row r="395" spans="1:20" ht="19.5" customHeight="1">
      <c r="A395" s="218" t="s">
        <v>203</v>
      </c>
      <c r="B395" s="219"/>
      <c r="C395" s="33"/>
      <c r="D395" s="33"/>
      <c r="E395" s="33"/>
      <c r="F395" s="49">
        <v>200</v>
      </c>
      <c r="G395" s="33" t="s">
        <v>190</v>
      </c>
      <c r="H395" s="27">
        <v>0.3</v>
      </c>
      <c r="I395" s="26">
        <f t="shared" si="16"/>
        <v>60</v>
      </c>
      <c r="J395" s="53" t="s">
        <v>18</v>
      </c>
      <c r="K395" s="54"/>
      <c r="T395" s="2"/>
    </row>
    <row r="396" spans="1:20" ht="21" customHeight="1">
      <c r="A396" s="218" t="s">
        <v>204</v>
      </c>
      <c r="B396" s="219"/>
      <c r="C396" s="33"/>
      <c r="D396" s="33"/>
      <c r="E396" s="33"/>
      <c r="F396" s="49">
        <v>80</v>
      </c>
      <c r="G396" s="33" t="s">
        <v>190</v>
      </c>
      <c r="H396" s="27">
        <v>0.1</v>
      </c>
      <c r="I396" s="26">
        <f t="shared" si="16"/>
        <v>8</v>
      </c>
      <c r="J396" s="53" t="s">
        <v>18</v>
      </c>
      <c r="K396" s="54"/>
      <c r="T396" s="2"/>
    </row>
    <row r="397" spans="1:20" ht="19.5" customHeight="1">
      <c r="A397" s="209" t="s">
        <v>205</v>
      </c>
      <c r="B397" s="210"/>
      <c r="C397" s="30"/>
      <c r="D397" s="30"/>
      <c r="E397" s="30"/>
      <c r="F397" s="50">
        <v>2500</v>
      </c>
      <c r="G397" s="33" t="s">
        <v>190</v>
      </c>
      <c r="H397" s="27">
        <v>0.1</v>
      </c>
      <c r="I397" s="26">
        <f t="shared" si="16"/>
        <v>250</v>
      </c>
      <c r="J397" s="37" t="s">
        <v>18</v>
      </c>
      <c r="K397" s="51"/>
      <c r="T397" s="2"/>
    </row>
    <row r="398" spans="1:20" ht="23.25" customHeight="1">
      <c r="A398" s="218" t="s">
        <v>206</v>
      </c>
      <c r="B398" s="219"/>
      <c r="C398" s="30"/>
      <c r="D398" s="30"/>
      <c r="E398" s="30"/>
      <c r="F398" s="52">
        <f>390-15-20-60-30-250</f>
        <v>15</v>
      </c>
      <c r="G398" s="33" t="s">
        <v>190</v>
      </c>
      <c r="H398" s="27">
        <v>0.1</v>
      </c>
      <c r="I398" s="26">
        <f t="shared" si="16"/>
        <v>1.5</v>
      </c>
      <c r="J398" s="37" t="s">
        <v>18</v>
      </c>
      <c r="K398" s="51"/>
      <c r="T398" s="2"/>
    </row>
    <row r="399" spans="1:20" ht="27.75" customHeight="1">
      <c r="A399" s="218" t="s">
        <v>207</v>
      </c>
      <c r="B399" s="219"/>
      <c r="C399" s="30"/>
      <c r="D399" s="30"/>
      <c r="E399" s="30"/>
      <c r="F399" s="52">
        <v>376</v>
      </c>
      <c r="G399" s="33" t="s">
        <v>190</v>
      </c>
      <c r="H399" s="27">
        <v>0.1</v>
      </c>
      <c r="I399" s="26">
        <f t="shared" si="16"/>
        <v>37.6</v>
      </c>
      <c r="J399" s="37" t="s">
        <v>18</v>
      </c>
      <c r="K399" s="51"/>
      <c r="T399" s="2"/>
    </row>
    <row r="400" spans="1:20" ht="26.25" thickBot="1">
      <c r="A400" s="209" t="s">
        <v>208</v>
      </c>
      <c r="B400" s="210"/>
      <c r="C400" s="30"/>
      <c r="D400" s="30"/>
      <c r="E400" s="30"/>
      <c r="F400" s="55">
        <v>840</v>
      </c>
      <c r="G400" s="56" t="s">
        <v>190</v>
      </c>
      <c r="H400" s="57">
        <v>0.1</v>
      </c>
      <c r="I400" s="58">
        <f t="shared" si="16"/>
        <v>84</v>
      </c>
      <c r="J400" s="37" t="s">
        <v>18</v>
      </c>
      <c r="K400" s="51"/>
      <c r="T400" s="2"/>
    </row>
    <row r="401" spans="1:20" s="4" customFormat="1" ht="18.75" customHeight="1" thickTop="1">
      <c r="A401" s="211" t="s">
        <v>209</v>
      </c>
      <c r="B401" s="212"/>
      <c r="C401" s="59"/>
      <c r="D401" s="59"/>
      <c r="E401" s="59"/>
      <c r="F401" s="60">
        <f>SUM(F382:F400)</f>
        <v>13354</v>
      </c>
      <c r="G401" s="61"/>
      <c r="H401" s="62"/>
      <c r="I401" s="63">
        <f>SUM(I382:I400)</f>
        <v>2449.75</v>
      </c>
      <c r="J401" s="43"/>
      <c r="K401" s="64"/>
      <c r="L401" s="3"/>
      <c r="M401" s="3"/>
      <c r="N401" s="3"/>
      <c r="O401" s="3"/>
      <c r="P401" s="3"/>
      <c r="Q401" s="3"/>
      <c r="R401" s="3"/>
      <c r="S401" s="3"/>
      <c r="T401" s="3"/>
    </row>
    <row r="402" spans="1:20" ht="41.25" customHeight="1">
      <c r="A402" s="232" t="s">
        <v>198</v>
      </c>
      <c r="B402" s="233"/>
      <c r="C402" s="96"/>
      <c r="D402" s="96"/>
      <c r="E402" s="96"/>
      <c r="F402" s="97">
        <f>1350-1350</f>
        <v>0</v>
      </c>
      <c r="G402" s="98" t="s">
        <v>210</v>
      </c>
      <c r="H402" s="93">
        <v>0.15</v>
      </c>
      <c r="I402" s="99">
        <f>F402*H402</f>
        <v>0</v>
      </c>
      <c r="J402" s="100" t="s">
        <v>18</v>
      </c>
      <c r="K402" s="51"/>
      <c r="T402" s="2"/>
    </row>
    <row r="403" spans="1:20" ht="39" customHeight="1">
      <c r="A403" s="232" t="s">
        <v>199</v>
      </c>
      <c r="B403" s="233"/>
      <c r="C403" s="96"/>
      <c r="D403" s="96"/>
      <c r="E403" s="96"/>
      <c r="F403" s="97">
        <f>550-550</f>
        <v>0</v>
      </c>
      <c r="G403" s="98" t="s">
        <v>210</v>
      </c>
      <c r="H403" s="93">
        <v>0.25</v>
      </c>
      <c r="I403" s="99">
        <f>F403*H403</f>
        <v>0</v>
      </c>
      <c r="J403" s="100" t="s">
        <v>18</v>
      </c>
      <c r="K403" s="51"/>
      <c r="T403" s="2"/>
    </row>
    <row r="404" spans="1:20" ht="25.5">
      <c r="A404" s="230" t="s">
        <v>211</v>
      </c>
      <c r="B404" s="231"/>
      <c r="C404" s="96"/>
      <c r="D404" s="96"/>
      <c r="E404" s="96"/>
      <c r="F404" s="97">
        <f>830-830</f>
        <v>0</v>
      </c>
      <c r="G404" s="98" t="s">
        <v>210</v>
      </c>
      <c r="H404" s="93">
        <v>0.25</v>
      </c>
      <c r="I404" s="99">
        <f>F404*H404</f>
        <v>0</v>
      </c>
      <c r="J404" s="100" t="s">
        <v>18</v>
      </c>
      <c r="K404" s="51"/>
      <c r="T404" s="2"/>
    </row>
    <row r="405" spans="1:20" ht="25.5">
      <c r="A405" s="230" t="s">
        <v>212</v>
      </c>
      <c r="B405" s="231"/>
      <c r="C405" s="96"/>
      <c r="D405" s="96"/>
      <c r="E405" s="96"/>
      <c r="F405" s="97">
        <f>278-278</f>
        <v>0</v>
      </c>
      <c r="G405" s="98" t="s">
        <v>210</v>
      </c>
      <c r="H405" s="93">
        <v>0.25</v>
      </c>
      <c r="I405" s="99">
        <f>F405*H405</f>
        <v>0</v>
      </c>
      <c r="J405" s="100" t="s">
        <v>18</v>
      </c>
      <c r="K405" s="51"/>
      <c r="T405" s="2"/>
    </row>
    <row r="406" spans="1:20" ht="25.5">
      <c r="A406" s="230" t="s">
        <v>213</v>
      </c>
      <c r="B406" s="231"/>
      <c r="C406" s="96"/>
      <c r="D406" s="96"/>
      <c r="E406" s="96"/>
      <c r="F406" s="97">
        <f>750-750</f>
        <v>0</v>
      </c>
      <c r="G406" s="98" t="s">
        <v>210</v>
      </c>
      <c r="H406" s="93">
        <v>0.1</v>
      </c>
      <c r="I406" s="99">
        <f>F406*H406</f>
        <v>0</v>
      </c>
      <c r="J406" s="100" t="s">
        <v>18</v>
      </c>
      <c r="K406" s="51"/>
      <c r="T406" s="2"/>
    </row>
    <row r="407" spans="1:20" ht="16.5" thickBot="1">
      <c r="A407" s="234" t="s">
        <v>214</v>
      </c>
      <c r="B407" s="235"/>
      <c r="C407" s="101"/>
      <c r="D407" s="101"/>
      <c r="E407" s="101"/>
      <c r="F407" s="102">
        <f>SUM(F402:F406)</f>
        <v>0</v>
      </c>
      <c r="G407" s="103"/>
      <c r="H407" s="104"/>
      <c r="I407" s="105">
        <f>I402+I403+I404+I405+I406</f>
        <v>0</v>
      </c>
      <c r="J407" s="106"/>
      <c r="K407" s="51"/>
      <c r="T407" s="2"/>
    </row>
    <row r="408" spans="1:19" s="80" customFormat="1" ht="18.75" thickTop="1">
      <c r="A408" s="216" t="s">
        <v>215</v>
      </c>
      <c r="B408" s="217"/>
      <c r="C408" s="72"/>
      <c r="D408" s="72"/>
      <c r="E408" s="72"/>
      <c r="F408" s="73">
        <f>F401+F407</f>
        <v>13354</v>
      </c>
      <c r="G408" s="74"/>
      <c r="H408" s="75"/>
      <c r="I408" s="76">
        <f>I401+I407</f>
        <v>2449.75</v>
      </c>
      <c r="J408" s="77"/>
      <c r="K408" s="78"/>
      <c r="L408" s="79"/>
      <c r="M408" s="79"/>
      <c r="N408" s="79"/>
      <c r="O408" s="79"/>
      <c r="P408" s="79"/>
      <c r="Q408" s="79"/>
      <c r="R408" s="79"/>
      <c r="S408" s="79"/>
    </row>
    <row r="409" spans="1:20" s="80" customFormat="1" ht="29.25" customHeight="1" thickBot="1">
      <c r="A409" s="213" t="s">
        <v>216</v>
      </c>
      <c r="B409" s="214"/>
      <c r="C409" s="214"/>
      <c r="D409" s="214"/>
      <c r="E409" s="214"/>
      <c r="F409" s="214"/>
      <c r="G409" s="214"/>
      <c r="H409" s="214"/>
      <c r="I409" s="81">
        <f>J379+I408</f>
        <v>12368.1254</v>
      </c>
      <c r="J409" s="81"/>
      <c r="K409" s="82"/>
      <c r="L409" s="79"/>
      <c r="M409" s="79"/>
      <c r="N409" s="79"/>
      <c r="O409" s="79"/>
      <c r="P409" s="79"/>
      <c r="Q409" s="79"/>
      <c r="R409" s="79"/>
      <c r="S409" s="79"/>
      <c r="T409" s="79"/>
    </row>
    <row r="410" ht="25.5" customHeight="1"/>
    <row r="412" spans="1:5" ht="15.75">
      <c r="A412" s="215" t="s">
        <v>217</v>
      </c>
      <c r="B412" s="86" t="s">
        <v>218</v>
      </c>
      <c r="C412" s="86"/>
      <c r="D412" s="86"/>
      <c r="E412" s="86"/>
    </row>
    <row r="413" spans="1:21" s="1" customFormat="1" ht="15.75">
      <c r="A413" s="215"/>
      <c r="B413" s="86" t="s">
        <v>219</v>
      </c>
      <c r="C413" s="86"/>
      <c r="D413" s="86"/>
      <c r="E413" s="86"/>
      <c r="F413" s="83"/>
      <c r="G413" s="85"/>
      <c r="U413" s="2"/>
    </row>
    <row r="414" spans="1:21" s="1" customFormat="1" ht="15.75">
      <c r="A414" s="215"/>
      <c r="B414" s="86" t="s">
        <v>220</v>
      </c>
      <c r="C414" s="86"/>
      <c r="D414" s="86"/>
      <c r="E414" s="86"/>
      <c r="F414" s="83"/>
      <c r="G414" s="85"/>
      <c r="U414" s="2"/>
    </row>
    <row r="415" spans="1:21" s="1" customFormat="1" ht="12.75">
      <c r="A415" s="2"/>
      <c r="B415" s="2"/>
      <c r="C415" s="83"/>
      <c r="D415" s="2"/>
      <c r="E415" s="84"/>
      <c r="F415" s="83"/>
      <c r="G415" s="85"/>
      <c r="U415" s="2"/>
    </row>
    <row r="418" spans="2:8" ht="12.75">
      <c r="B418" s="87" t="s">
        <v>221</v>
      </c>
      <c r="C418" s="87"/>
      <c r="E418" s="88"/>
      <c r="F418" s="88"/>
      <c r="G418" s="207" t="s">
        <v>222</v>
      </c>
      <c r="H418" s="207"/>
    </row>
    <row r="424" spans="2:8" ht="12.75">
      <c r="B424" s="87" t="s">
        <v>223</v>
      </c>
      <c r="C424" s="87"/>
      <c r="G424" s="208" t="s">
        <v>501</v>
      </c>
      <c r="H424" s="208"/>
    </row>
  </sheetData>
  <sheetProtection/>
  <mergeCells count="39">
    <mergeCell ref="G418:H418"/>
    <mergeCell ref="G424:H424"/>
    <mergeCell ref="A400:B400"/>
    <mergeCell ref="A401:B401"/>
    <mergeCell ref="A409:H409"/>
    <mergeCell ref="A412:A414"/>
    <mergeCell ref="A407:B407"/>
    <mergeCell ref="A408:B408"/>
    <mergeCell ref="A403:B403"/>
    <mergeCell ref="A404:B404"/>
    <mergeCell ref="A406:B406"/>
    <mergeCell ref="A389:B389"/>
    <mergeCell ref="A390:B390"/>
    <mergeCell ref="A402:B402"/>
    <mergeCell ref="A391:B391"/>
    <mergeCell ref="A392:B392"/>
    <mergeCell ref="A393:B393"/>
    <mergeCell ref="A394:B394"/>
    <mergeCell ref="A395:B395"/>
    <mergeCell ref="A396:B396"/>
    <mergeCell ref="A386:B386"/>
    <mergeCell ref="A387:B387"/>
    <mergeCell ref="A388:B388"/>
    <mergeCell ref="A405:B405"/>
    <mergeCell ref="A397:B397"/>
    <mergeCell ref="A398:B398"/>
    <mergeCell ref="A399:B399"/>
    <mergeCell ref="A382:B382"/>
    <mergeCell ref="A383:B383"/>
    <mergeCell ref="A384:B384"/>
    <mergeCell ref="A385:B385"/>
    <mergeCell ref="A378:C378"/>
    <mergeCell ref="A379:I379"/>
    <mergeCell ref="A380:J380"/>
    <mergeCell ref="A381:B381"/>
    <mergeCell ref="A1:K1"/>
    <mergeCell ref="A2:K2"/>
    <mergeCell ref="A279:C279"/>
    <mergeCell ref="A280:K280"/>
  </mergeCells>
  <printOptions/>
  <pageMargins left="0.15748031496062992" right="0.15748031496062992" top="0.3937007874015748" bottom="0.3937007874015748" header="0.1968503937007874" footer="0.1968503937007874"/>
  <pageSetup horizontalDpi="600" verticalDpi="600" orientation="landscape" paperSize="9" scale="55"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X331"/>
  <sheetViews>
    <sheetView tabSelected="1" zoomScale="65" zoomScaleNormal="65" zoomScaleSheetLayoutView="85" workbookViewId="0" topLeftCell="A292">
      <selection activeCell="G325" sqref="G325:H325"/>
    </sheetView>
  </sheetViews>
  <sheetFormatPr defaultColWidth="9.140625" defaultRowHeight="16.5" customHeight="1"/>
  <cols>
    <col min="1" max="1" width="41.57421875" style="4" customWidth="1"/>
    <col min="2" max="2" width="41.00390625" style="4" customWidth="1"/>
    <col min="3" max="3" width="23.00390625" style="133" customWidth="1"/>
    <col min="4" max="4" width="17.28125" style="4" customWidth="1"/>
    <col min="5" max="5" width="16.140625" style="134" bestFit="1" customWidth="1"/>
    <col min="6" max="6" width="14.57421875" style="133" customWidth="1"/>
    <col min="7" max="7" width="19.421875" style="135" customWidth="1"/>
    <col min="8" max="9" width="18.57421875" style="3" customWidth="1"/>
    <col min="10" max="11" width="19.8515625" style="3" customWidth="1"/>
    <col min="12" max="13" width="17.140625" style="3" customWidth="1"/>
    <col min="14" max="14" width="24.28125" style="3" customWidth="1"/>
    <col min="15" max="22" width="9.140625" style="3" customWidth="1"/>
    <col min="23" max="16384" width="9.140625" style="4" customWidth="1"/>
  </cols>
  <sheetData>
    <row r="1" spans="1:22" s="80" customFormat="1" ht="67.5" customHeight="1">
      <c r="A1" s="259" t="s">
        <v>521</v>
      </c>
      <c r="B1" s="260"/>
      <c r="C1" s="260"/>
      <c r="D1" s="260"/>
      <c r="E1" s="260"/>
      <c r="F1" s="260"/>
      <c r="G1" s="260"/>
      <c r="H1" s="260"/>
      <c r="I1" s="260"/>
      <c r="J1" s="260"/>
      <c r="K1" s="260"/>
      <c r="L1" s="260"/>
      <c r="M1" s="260"/>
      <c r="N1" s="260"/>
      <c r="O1" s="79"/>
      <c r="P1" s="79"/>
      <c r="Q1" s="79"/>
      <c r="R1" s="79"/>
      <c r="S1" s="79"/>
      <c r="T1" s="79"/>
      <c r="U1" s="79"/>
      <c r="V1" s="79"/>
    </row>
    <row r="2" spans="1:14" s="79" customFormat="1" ht="42" customHeight="1">
      <c r="A2" s="259" t="s">
        <v>522</v>
      </c>
      <c r="B2" s="260"/>
      <c r="C2" s="260"/>
      <c r="D2" s="260"/>
      <c r="E2" s="260"/>
      <c r="F2" s="260"/>
      <c r="G2" s="260"/>
      <c r="H2" s="260"/>
      <c r="I2" s="260"/>
      <c r="J2" s="260"/>
      <c r="K2" s="260"/>
      <c r="L2" s="260"/>
      <c r="M2" s="260"/>
      <c r="N2" s="260"/>
    </row>
    <row r="3" spans="1:14" s="79" customFormat="1" ht="18">
      <c r="A3" s="261" t="s">
        <v>509</v>
      </c>
      <c r="B3" s="262"/>
      <c r="C3" s="262"/>
      <c r="D3" s="262"/>
      <c r="E3" s="262"/>
      <c r="F3" s="262"/>
      <c r="G3" s="262"/>
      <c r="H3" s="262"/>
      <c r="I3" s="262"/>
      <c r="J3" s="263"/>
      <c r="K3" s="179"/>
      <c r="L3" s="169"/>
      <c r="M3" s="169"/>
      <c r="N3" s="169"/>
    </row>
    <row r="4" spans="1:11" s="79" customFormat="1" ht="38.25">
      <c r="A4" s="174" t="s">
        <v>510</v>
      </c>
      <c r="B4" s="175" t="s">
        <v>511</v>
      </c>
      <c r="C4" s="175" t="s">
        <v>512</v>
      </c>
      <c r="D4" s="175"/>
      <c r="E4" s="175" t="s">
        <v>513</v>
      </c>
      <c r="F4" s="175" t="s">
        <v>514</v>
      </c>
      <c r="G4" s="175" t="s">
        <v>10</v>
      </c>
      <c r="H4" s="180"/>
      <c r="I4" s="169"/>
      <c r="J4" s="169"/>
      <c r="K4" s="169"/>
    </row>
    <row r="5" spans="1:11" s="79" customFormat="1" ht="25.5">
      <c r="A5" s="176" t="s">
        <v>515</v>
      </c>
      <c r="B5" s="177">
        <v>2003</v>
      </c>
      <c r="C5" s="177" t="s">
        <v>516</v>
      </c>
      <c r="D5" s="177">
        <v>1</v>
      </c>
      <c r="E5" s="177">
        <v>500</v>
      </c>
      <c r="F5" s="177">
        <v>500</v>
      </c>
      <c r="G5" s="177" t="s">
        <v>517</v>
      </c>
      <c r="H5" s="181"/>
      <c r="I5" s="169"/>
      <c r="J5" s="169"/>
      <c r="K5" s="169"/>
    </row>
    <row r="6" spans="1:11" s="79" customFormat="1" ht="26.25" thickBot="1">
      <c r="A6" s="176" t="s">
        <v>518</v>
      </c>
      <c r="B6" s="177">
        <v>2000</v>
      </c>
      <c r="C6" s="177" t="s">
        <v>519</v>
      </c>
      <c r="D6" s="177">
        <v>1</v>
      </c>
      <c r="E6" s="177">
        <v>400</v>
      </c>
      <c r="F6" s="177">
        <f>500-(500*20%)</f>
        <v>400</v>
      </c>
      <c r="G6" s="177" t="s">
        <v>517</v>
      </c>
      <c r="H6" s="181"/>
      <c r="I6" s="169"/>
      <c r="J6" s="169"/>
      <c r="K6" s="169"/>
    </row>
    <row r="7" spans="1:14" s="79" customFormat="1" ht="18.75" thickBot="1">
      <c r="A7" s="172" t="s">
        <v>520</v>
      </c>
      <c r="B7" s="173"/>
      <c r="C7" s="173"/>
      <c r="D7" s="173"/>
      <c r="E7" s="173"/>
      <c r="F7" s="75">
        <f>SUM(F5:F6)</f>
        <v>900</v>
      </c>
      <c r="H7" s="178"/>
      <c r="I7" s="173"/>
      <c r="J7" s="173"/>
      <c r="K7" s="170"/>
      <c r="L7" s="183"/>
      <c r="M7" s="171"/>
      <c r="N7" s="157"/>
    </row>
    <row r="8" spans="1:22" ht="65.25" customHeight="1">
      <c r="A8" s="137" t="s">
        <v>2</v>
      </c>
      <c r="B8" s="138" t="s">
        <v>3</v>
      </c>
      <c r="C8" s="138" t="s">
        <v>4</v>
      </c>
      <c r="D8" s="138"/>
      <c r="E8" s="138"/>
      <c r="F8" s="139" t="s">
        <v>5</v>
      </c>
      <c r="G8" s="139" t="s">
        <v>6</v>
      </c>
      <c r="H8" s="138" t="s">
        <v>7</v>
      </c>
      <c r="I8" s="140" t="s">
        <v>8</v>
      </c>
      <c r="J8" s="140" t="s">
        <v>9</v>
      </c>
      <c r="K8" s="141" t="s">
        <v>505</v>
      </c>
      <c r="L8" s="21"/>
      <c r="T8" s="4"/>
      <c r="U8" s="4"/>
      <c r="V8" s="4"/>
    </row>
    <row r="9" spans="1:22" ht="16.5" customHeight="1">
      <c r="A9" s="115">
        <v>4</v>
      </c>
      <c r="B9" s="116" t="s">
        <v>11</v>
      </c>
      <c r="C9" s="116" t="s">
        <v>12</v>
      </c>
      <c r="D9" s="116" t="s">
        <v>13</v>
      </c>
      <c r="E9" s="116" t="s">
        <v>14</v>
      </c>
      <c r="F9" s="117">
        <v>14.79</v>
      </c>
      <c r="G9" s="118">
        <f>2</f>
        <v>2</v>
      </c>
      <c r="H9" s="119">
        <f aca="true" t="shared" si="0" ref="H9:H70">G9*F9</f>
        <v>29.58</v>
      </c>
      <c r="I9" s="120">
        <v>1.13</v>
      </c>
      <c r="J9" s="120">
        <f aca="true" t="shared" si="1" ref="J9:J70">G9*I9</f>
        <v>2.26</v>
      </c>
      <c r="K9" s="238" t="s">
        <v>506</v>
      </c>
      <c r="L9" s="21"/>
      <c r="T9" s="4"/>
      <c r="U9" s="4"/>
      <c r="V9" s="4"/>
    </row>
    <row r="10" spans="1:20" s="3" customFormat="1" ht="16.5" customHeight="1">
      <c r="A10" s="115">
        <v>5</v>
      </c>
      <c r="B10" s="116" t="s">
        <v>16</v>
      </c>
      <c r="C10" s="116" t="s">
        <v>12</v>
      </c>
      <c r="D10" s="116" t="s">
        <v>17</v>
      </c>
      <c r="E10" s="116" t="s">
        <v>14</v>
      </c>
      <c r="F10" s="117">
        <v>10.65</v>
      </c>
      <c r="G10" s="118">
        <v>11</v>
      </c>
      <c r="H10" s="119">
        <f t="shared" si="0"/>
        <v>117.15</v>
      </c>
      <c r="I10" s="120">
        <v>0.9576</v>
      </c>
      <c r="J10" s="120">
        <f t="shared" si="1"/>
        <v>10.5336</v>
      </c>
      <c r="K10" s="239"/>
      <c r="L10" s="21"/>
      <c r="T10" s="4"/>
    </row>
    <row r="11" spans="1:20" s="3" customFormat="1" ht="16.5" customHeight="1">
      <c r="A11" s="115">
        <v>8</v>
      </c>
      <c r="B11" s="118" t="s">
        <v>19</v>
      </c>
      <c r="C11" s="116" t="s">
        <v>12</v>
      </c>
      <c r="D11" s="116" t="s">
        <v>20</v>
      </c>
      <c r="E11" s="116" t="s">
        <v>14</v>
      </c>
      <c r="F11" s="121">
        <v>61.6</v>
      </c>
      <c r="G11" s="118">
        <f>1</f>
        <v>1</v>
      </c>
      <c r="H11" s="119">
        <f t="shared" si="0"/>
        <v>61.6</v>
      </c>
      <c r="I11" s="120">
        <v>3.528</v>
      </c>
      <c r="J11" s="120">
        <f t="shared" si="1"/>
        <v>3.528</v>
      </c>
      <c r="K11" s="44" t="s">
        <v>507</v>
      </c>
      <c r="L11" s="21"/>
      <c r="T11" s="4"/>
    </row>
    <row r="12" spans="1:20" s="3" customFormat="1" ht="16.5" customHeight="1">
      <c r="A12" s="115">
        <v>9</v>
      </c>
      <c r="B12" s="116" t="s">
        <v>21</v>
      </c>
      <c r="C12" s="116" t="s">
        <v>12</v>
      </c>
      <c r="D12" s="116" t="s">
        <v>20</v>
      </c>
      <c r="E12" s="116" t="s">
        <v>14</v>
      </c>
      <c r="F12" s="121">
        <v>55</v>
      </c>
      <c r="G12" s="118">
        <f>1</f>
        <v>1</v>
      </c>
      <c r="H12" s="119">
        <f t="shared" si="0"/>
        <v>55</v>
      </c>
      <c r="I12" s="120">
        <v>3.024</v>
      </c>
      <c r="J12" s="120">
        <f t="shared" si="1"/>
        <v>3.024</v>
      </c>
      <c r="K12" s="44" t="s">
        <v>507</v>
      </c>
      <c r="L12" s="21"/>
      <c r="T12" s="4"/>
    </row>
    <row r="13" spans="1:20" s="3" customFormat="1" ht="16.5" customHeight="1">
      <c r="A13" s="115">
        <v>11</v>
      </c>
      <c r="B13" s="116" t="s">
        <v>22</v>
      </c>
      <c r="C13" s="116" t="s">
        <v>12</v>
      </c>
      <c r="D13" s="116" t="s">
        <v>20</v>
      </c>
      <c r="E13" s="116" t="s">
        <v>14</v>
      </c>
      <c r="F13" s="117">
        <v>44.5</v>
      </c>
      <c r="G13" s="118">
        <f>2-1</f>
        <v>1</v>
      </c>
      <c r="H13" s="119">
        <f t="shared" si="0"/>
        <v>44.5</v>
      </c>
      <c r="I13" s="120">
        <v>3.528</v>
      </c>
      <c r="J13" s="120">
        <f t="shared" si="1"/>
        <v>3.528</v>
      </c>
      <c r="K13" s="44" t="s">
        <v>507</v>
      </c>
      <c r="L13" s="21"/>
      <c r="T13" s="4"/>
    </row>
    <row r="14" spans="1:20" s="3" customFormat="1" ht="16.5" customHeight="1">
      <c r="A14" s="115">
        <v>24</v>
      </c>
      <c r="B14" s="116" t="s">
        <v>25</v>
      </c>
      <c r="C14" s="116" t="s">
        <v>12</v>
      </c>
      <c r="D14" s="116" t="s">
        <v>20</v>
      </c>
      <c r="E14" s="116" t="s">
        <v>14</v>
      </c>
      <c r="F14" s="121">
        <v>98</v>
      </c>
      <c r="G14" s="118">
        <f>2</f>
        <v>2</v>
      </c>
      <c r="H14" s="119">
        <f t="shared" si="0"/>
        <v>196</v>
      </c>
      <c r="I14" s="120">
        <v>4.536</v>
      </c>
      <c r="J14" s="120">
        <f t="shared" si="1"/>
        <v>9.072</v>
      </c>
      <c r="K14" s="44" t="s">
        <v>507</v>
      </c>
      <c r="L14" s="21"/>
      <c r="T14" s="4"/>
    </row>
    <row r="15" spans="1:20" s="3" customFormat="1" ht="16.5" customHeight="1">
      <c r="A15" s="115">
        <v>43</v>
      </c>
      <c r="B15" s="116" t="s">
        <v>29</v>
      </c>
      <c r="C15" s="116" t="s">
        <v>12</v>
      </c>
      <c r="D15" s="116" t="s">
        <v>27</v>
      </c>
      <c r="E15" s="116" t="s">
        <v>14</v>
      </c>
      <c r="F15" s="117">
        <v>6.35</v>
      </c>
      <c r="G15" s="118">
        <v>2</v>
      </c>
      <c r="H15" s="119">
        <f t="shared" si="0"/>
        <v>12.7</v>
      </c>
      <c r="I15" s="120">
        <v>0.5544</v>
      </c>
      <c r="J15" s="120">
        <f t="shared" si="1"/>
        <v>1.1088</v>
      </c>
      <c r="K15" s="44" t="s">
        <v>507</v>
      </c>
      <c r="L15" s="21"/>
      <c r="T15" s="4"/>
    </row>
    <row r="16" spans="1:20" s="3" customFormat="1" ht="16.5" customHeight="1">
      <c r="A16" s="115">
        <v>45</v>
      </c>
      <c r="B16" s="116" t="s">
        <v>30</v>
      </c>
      <c r="C16" s="116" t="s">
        <v>12</v>
      </c>
      <c r="D16" s="116" t="s">
        <v>20</v>
      </c>
      <c r="E16" s="116" t="s">
        <v>14</v>
      </c>
      <c r="F16" s="121">
        <v>43.5</v>
      </c>
      <c r="G16" s="118">
        <f>1+2</f>
        <v>3</v>
      </c>
      <c r="H16" s="119">
        <f t="shared" si="0"/>
        <v>130.5</v>
      </c>
      <c r="I16" s="120">
        <v>3.2760000000000002</v>
      </c>
      <c r="J16" s="120">
        <f t="shared" si="1"/>
        <v>9.828000000000001</v>
      </c>
      <c r="K16" s="44" t="s">
        <v>507</v>
      </c>
      <c r="L16" s="21"/>
      <c r="T16" s="4"/>
    </row>
    <row r="17" spans="1:20" ht="16.5" customHeight="1">
      <c r="A17" s="115">
        <v>47</v>
      </c>
      <c r="B17" s="116" t="s">
        <v>31</v>
      </c>
      <c r="C17" s="116" t="s">
        <v>12</v>
      </c>
      <c r="D17" s="116" t="s">
        <v>24</v>
      </c>
      <c r="E17" s="116" t="s">
        <v>14</v>
      </c>
      <c r="F17" s="117">
        <v>54.14</v>
      </c>
      <c r="G17" s="118">
        <v>3</v>
      </c>
      <c r="H17" s="119">
        <f t="shared" si="0"/>
        <v>162.42000000000002</v>
      </c>
      <c r="I17" s="120">
        <v>4.032</v>
      </c>
      <c r="J17" s="120">
        <f t="shared" si="1"/>
        <v>12.096</v>
      </c>
      <c r="K17" s="44" t="s">
        <v>507</v>
      </c>
      <c r="L17" s="21"/>
      <c r="T17" s="4"/>
    </row>
    <row r="18" spans="1:20" ht="16.5" customHeight="1">
      <c r="A18" s="115">
        <v>55</v>
      </c>
      <c r="B18" s="116" t="s">
        <v>33</v>
      </c>
      <c r="C18" s="116" t="s">
        <v>12</v>
      </c>
      <c r="D18" s="116" t="s">
        <v>17</v>
      </c>
      <c r="E18" s="116" t="s">
        <v>14</v>
      </c>
      <c r="F18" s="117">
        <v>17</v>
      </c>
      <c r="G18" s="118">
        <v>1</v>
      </c>
      <c r="H18" s="119">
        <f t="shared" si="0"/>
        <v>17</v>
      </c>
      <c r="I18" s="120">
        <v>1.4615999999999998</v>
      </c>
      <c r="J18" s="120">
        <f t="shared" si="1"/>
        <v>1.4615999999999998</v>
      </c>
      <c r="K18" s="44" t="s">
        <v>507</v>
      </c>
      <c r="L18" s="21"/>
      <c r="T18" s="4"/>
    </row>
    <row r="19" spans="1:20" ht="16.5" customHeight="1">
      <c r="A19" s="115">
        <v>80</v>
      </c>
      <c r="B19" s="116" t="s">
        <v>34</v>
      </c>
      <c r="C19" s="116" t="s">
        <v>12</v>
      </c>
      <c r="D19" s="116" t="s">
        <v>20</v>
      </c>
      <c r="E19" s="116" t="s">
        <v>14</v>
      </c>
      <c r="F19" s="117">
        <v>58</v>
      </c>
      <c r="G19" s="118">
        <f>2+1</f>
        <v>3</v>
      </c>
      <c r="H19" s="119">
        <f t="shared" si="0"/>
        <v>174</v>
      </c>
      <c r="I19" s="120">
        <v>4.158</v>
      </c>
      <c r="J19" s="120">
        <f t="shared" si="1"/>
        <v>12.474</v>
      </c>
      <c r="K19" s="44" t="s">
        <v>507</v>
      </c>
      <c r="L19" s="21"/>
      <c r="T19" s="4"/>
    </row>
    <row r="20" spans="1:20" ht="16.5" customHeight="1">
      <c r="A20" s="115">
        <v>83</v>
      </c>
      <c r="B20" s="116" t="s">
        <v>33</v>
      </c>
      <c r="C20" s="116" t="s">
        <v>12</v>
      </c>
      <c r="D20" s="116" t="s">
        <v>17</v>
      </c>
      <c r="E20" s="116" t="s">
        <v>14</v>
      </c>
      <c r="F20" s="121">
        <v>7.8</v>
      </c>
      <c r="G20" s="118">
        <f>2</f>
        <v>2</v>
      </c>
      <c r="H20" s="119">
        <f t="shared" si="0"/>
        <v>15.6</v>
      </c>
      <c r="I20" s="120">
        <v>0.5544</v>
      </c>
      <c r="J20" s="120">
        <f t="shared" si="1"/>
        <v>1.1088</v>
      </c>
      <c r="K20" s="44" t="s">
        <v>507</v>
      </c>
      <c r="L20" s="21"/>
      <c r="T20" s="4"/>
    </row>
    <row r="21" spans="1:20" ht="16.5" customHeight="1">
      <c r="A21" s="115">
        <v>87</v>
      </c>
      <c r="B21" s="116" t="s">
        <v>35</v>
      </c>
      <c r="C21" s="116" t="s">
        <v>12</v>
      </c>
      <c r="D21" s="116" t="s">
        <v>36</v>
      </c>
      <c r="E21" s="116" t="s">
        <v>14</v>
      </c>
      <c r="F21" s="117">
        <v>64.89</v>
      </c>
      <c r="G21" s="118">
        <f>2</f>
        <v>2</v>
      </c>
      <c r="H21" s="119">
        <f t="shared" si="0"/>
        <v>129.78</v>
      </c>
      <c r="I21" s="120">
        <v>3.78</v>
      </c>
      <c r="J21" s="120">
        <f t="shared" si="1"/>
        <v>7.56</v>
      </c>
      <c r="K21" s="44" t="s">
        <v>507</v>
      </c>
      <c r="L21" s="21"/>
      <c r="T21" s="4"/>
    </row>
    <row r="22" spans="1:20" ht="16.5" customHeight="1">
      <c r="A22" s="115">
        <v>88</v>
      </c>
      <c r="B22" s="116" t="s">
        <v>33</v>
      </c>
      <c r="C22" s="116" t="s">
        <v>12</v>
      </c>
      <c r="D22" s="116" t="s">
        <v>17</v>
      </c>
      <c r="E22" s="116" t="s">
        <v>14</v>
      </c>
      <c r="F22" s="117">
        <v>11.3</v>
      </c>
      <c r="G22" s="118">
        <f>1-1</f>
        <v>0</v>
      </c>
      <c r="H22" s="119">
        <f t="shared" si="0"/>
        <v>0</v>
      </c>
      <c r="I22" s="120">
        <v>1.008</v>
      </c>
      <c r="J22" s="120">
        <f t="shared" si="1"/>
        <v>0</v>
      </c>
      <c r="K22" s="44" t="s">
        <v>507</v>
      </c>
      <c r="L22" s="21"/>
      <c r="T22" s="4"/>
    </row>
    <row r="23" spans="1:20" ht="16.5" customHeight="1">
      <c r="A23" s="115">
        <v>93</v>
      </c>
      <c r="B23" s="116" t="s">
        <v>33</v>
      </c>
      <c r="C23" s="116" t="s">
        <v>12</v>
      </c>
      <c r="D23" s="116" t="s">
        <v>17</v>
      </c>
      <c r="E23" s="116" t="s">
        <v>14</v>
      </c>
      <c r="F23" s="117">
        <v>11.29</v>
      </c>
      <c r="G23" s="118">
        <f>5-2</f>
        <v>3</v>
      </c>
      <c r="H23" s="119">
        <f t="shared" si="0"/>
        <v>33.87</v>
      </c>
      <c r="I23" s="120">
        <v>1.008</v>
      </c>
      <c r="J23" s="120">
        <f t="shared" si="1"/>
        <v>3.024</v>
      </c>
      <c r="K23" s="44" t="s">
        <v>507</v>
      </c>
      <c r="L23" s="21"/>
      <c r="T23" s="4"/>
    </row>
    <row r="24" spans="1:20" ht="16.5" customHeight="1">
      <c r="A24" s="115">
        <v>94</v>
      </c>
      <c r="B24" s="116" t="s">
        <v>33</v>
      </c>
      <c r="C24" s="116" t="s">
        <v>12</v>
      </c>
      <c r="D24" s="116" t="s">
        <v>17</v>
      </c>
      <c r="E24" s="116" t="s">
        <v>14</v>
      </c>
      <c r="F24" s="117">
        <v>11.29</v>
      </c>
      <c r="G24" s="118">
        <f>3</f>
        <v>3</v>
      </c>
      <c r="H24" s="119">
        <f t="shared" si="0"/>
        <v>33.87</v>
      </c>
      <c r="I24" s="120">
        <v>1.008</v>
      </c>
      <c r="J24" s="120">
        <f t="shared" si="1"/>
        <v>3.024</v>
      </c>
      <c r="K24" s="44" t="s">
        <v>507</v>
      </c>
      <c r="L24" s="21"/>
      <c r="T24" s="4"/>
    </row>
    <row r="25" spans="1:20" ht="16.5" customHeight="1">
      <c r="A25" s="115">
        <v>97</v>
      </c>
      <c r="B25" s="116" t="s">
        <v>37</v>
      </c>
      <c r="C25" s="116" t="s">
        <v>12</v>
      </c>
      <c r="D25" s="116" t="s">
        <v>17</v>
      </c>
      <c r="E25" s="116" t="s">
        <v>14</v>
      </c>
      <c r="F25" s="117">
        <v>13.59</v>
      </c>
      <c r="G25" s="118">
        <f>1+2</f>
        <v>3</v>
      </c>
      <c r="H25" s="119">
        <f t="shared" si="0"/>
        <v>40.769999999999996</v>
      </c>
      <c r="I25" s="120">
        <v>1.0584000000000002</v>
      </c>
      <c r="J25" s="120">
        <f t="shared" si="1"/>
        <v>3.1752000000000007</v>
      </c>
      <c r="K25" s="44" t="s">
        <v>507</v>
      </c>
      <c r="L25" s="21"/>
      <c r="T25" s="4"/>
    </row>
    <row r="26" spans="1:20" ht="16.5" customHeight="1">
      <c r="A26" s="115">
        <v>98</v>
      </c>
      <c r="B26" s="118" t="s">
        <v>38</v>
      </c>
      <c r="C26" s="116" t="s">
        <v>12</v>
      </c>
      <c r="D26" s="116" t="s">
        <v>17</v>
      </c>
      <c r="E26" s="116" t="s">
        <v>14</v>
      </c>
      <c r="F26" s="121">
        <v>3.69</v>
      </c>
      <c r="G26" s="118">
        <f>2</f>
        <v>2</v>
      </c>
      <c r="H26" s="119">
        <f t="shared" si="0"/>
        <v>7.38</v>
      </c>
      <c r="I26" s="120">
        <v>0.3276</v>
      </c>
      <c r="J26" s="120">
        <f t="shared" si="1"/>
        <v>0.6552</v>
      </c>
      <c r="K26" s="44" t="s">
        <v>507</v>
      </c>
      <c r="L26" s="21"/>
      <c r="T26" s="4"/>
    </row>
    <row r="27" spans="1:20" ht="16.5" customHeight="1">
      <c r="A27" s="115">
        <v>100</v>
      </c>
      <c r="B27" s="116" t="s">
        <v>39</v>
      </c>
      <c r="C27" s="116" t="s">
        <v>12</v>
      </c>
      <c r="D27" s="116" t="s">
        <v>27</v>
      </c>
      <c r="E27" s="116" t="s">
        <v>14</v>
      </c>
      <c r="F27" s="117">
        <v>6.5</v>
      </c>
      <c r="G27" s="118">
        <f>7</f>
        <v>7</v>
      </c>
      <c r="H27" s="119">
        <f t="shared" si="0"/>
        <v>45.5</v>
      </c>
      <c r="I27" s="120">
        <v>0.5795999999999999</v>
      </c>
      <c r="J27" s="120">
        <f t="shared" si="1"/>
        <v>4.057199999999999</v>
      </c>
      <c r="K27" s="44" t="s">
        <v>507</v>
      </c>
      <c r="L27" s="21"/>
      <c r="T27" s="4"/>
    </row>
    <row r="28" spans="1:20" ht="16.5" customHeight="1">
      <c r="A28" s="115">
        <v>104</v>
      </c>
      <c r="B28" s="116" t="s">
        <v>43</v>
      </c>
      <c r="C28" s="116" t="s">
        <v>12</v>
      </c>
      <c r="D28" s="116" t="s">
        <v>13</v>
      </c>
      <c r="E28" s="116" t="s">
        <v>14</v>
      </c>
      <c r="F28" s="117">
        <v>11.89</v>
      </c>
      <c r="G28" s="118">
        <f>1+3</f>
        <v>4</v>
      </c>
      <c r="H28" s="119">
        <f t="shared" si="0"/>
        <v>47.56</v>
      </c>
      <c r="I28" s="120">
        <v>1.071</v>
      </c>
      <c r="J28" s="120">
        <f t="shared" si="1"/>
        <v>4.284</v>
      </c>
      <c r="K28" s="44" t="s">
        <v>507</v>
      </c>
      <c r="L28" s="21"/>
      <c r="T28" s="4"/>
    </row>
    <row r="29" spans="1:20" ht="16.5" customHeight="1">
      <c r="A29" s="115">
        <v>111</v>
      </c>
      <c r="B29" s="116" t="s">
        <v>44</v>
      </c>
      <c r="C29" s="116" t="s">
        <v>12</v>
      </c>
      <c r="D29" s="116" t="s">
        <v>17</v>
      </c>
      <c r="E29" s="116" t="s">
        <v>14</v>
      </c>
      <c r="F29" s="117">
        <v>8.4</v>
      </c>
      <c r="G29" s="118">
        <v>1</v>
      </c>
      <c r="H29" s="119">
        <f t="shared" si="0"/>
        <v>8.4</v>
      </c>
      <c r="I29" s="120">
        <v>0.63</v>
      </c>
      <c r="J29" s="120">
        <f t="shared" si="1"/>
        <v>0.63</v>
      </c>
      <c r="K29" s="44" t="s">
        <v>507</v>
      </c>
      <c r="L29" s="21"/>
      <c r="T29" s="4"/>
    </row>
    <row r="30" spans="1:20" ht="16.5" customHeight="1">
      <c r="A30" s="115">
        <v>121</v>
      </c>
      <c r="B30" s="116" t="s">
        <v>45</v>
      </c>
      <c r="C30" s="116" t="s">
        <v>12</v>
      </c>
      <c r="D30" s="116" t="s">
        <v>20</v>
      </c>
      <c r="E30" s="116" t="s">
        <v>14</v>
      </c>
      <c r="F30" s="117">
        <v>47.5</v>
      </c>
      <c r="G30" s="118">
        <v>1</v>
      </c>
      <c r="H30" s="119">
        <f t="shared" si="0"/>
        <v>47.5</v>
      </c>
      <c r="I30" s="120">
        <v>3.4019999999999997</v>
      </c>
      <c r="J30" s="120">
        <f t="shared" si="1"/>
        <v>3.4019999999999997</v>
      </c>
      <c r="K30" s="44" t="s">
        <v>507</v>
      </c>
      <c r="L30" s="21"/>
      <c r="T30" s="4"/>
    </row>
    <row r="31" spans="1:20" ht="16.5" customHeight="1">
      <c r="A31" s="115">
        <v>164</v>
      </c>
      <c r="B31" s="116" t="s">
        <v>49</v>
      </c>
      <c r="C31" s="116" t="s">
        <v>12</v>
      </c>
      <c r="D31" s="116" t="s">
        <v>47</v>
      </c>
      <c r="E31" s="116" t="s">
        <v>14</v>
      </c>
      <c r="F31" s="117">
        <v>162.5</v>
      </c>
      <c r="G31" s="118">
        <f>1</f>
        <v>1</v>
      </c>
      <c r="H31" s="119">
        <f t="shared" si="0"/>
        <v>162.5</v>
      </c>
      <c r="I31" s="120">
        <v>10.584</v>
      </c>
      <c r="J31" s="120">
        <f t="shared" si="1"/>
        <v>10.584</v>
      </c>
      <c r="K31" s="44" t="s">
        <v>507</v>
      </c>
      <c r="L31" s="21"/>
      <c r="T31" s="4"/>
    </row>
    <row r="32" spans="1:20" ht="16.5" customHeight="1">
      <c r="A32" s="115">
        <v>166</v>
      </c>
      <c r="B32" s="116" t="s">
        <v>50</v>
      </c>
      <c r="C32" s="116" t="s">
        <v>12</v>
      </c>
      <c r="D32" s="116" t="s">
        <v>47</v>
      </c>
      <c r="E32" s="116" t="s">
        <v>14</v>
      </c>
      <c r="F32" s="121">
        <v>162</v>
      </c>
      <c r="G32" s="118">
        <f>1+1-1</f>
        <v>1</v>
      </c>
      <c r="H32" s="119">
        <f t="shared" si="0"/>
        <v>162</v>
      </c>
      <c r="I32" s="120">
        <v>11.088000000000001</v>
      </c>
      <c r="J32" s="120">
        <f t="shared" si="1"/>
        <v>11.088000000000001</v>
      </c>
      <c r="K32" s="44" t="s">
        <v>507</v>
      </c>
      <c r="L32" s="21"/>
      <c r="T32" s="4"/>
    </row>
    <row r="33" spans="1:20" ht="16.5" customHeight="1">
      <c r="A33" s="115">
        <v>180</v>
      </c>
      <c r="B33" s="116" t="s">
        <v>51</v>
      </c>
      <c r="C33" s="116" t="s">
        <v>12</v>
      </c>
      <c r="D33" s="116" t="s">
        <v>52</v>
      </c>
      <c r="E33" s="116" t="s">
        <v>14</v>
      </c>
      <c r="F33" s="117">
        <v>8.8</v>
      </c>
      <c r="G33" s="118">
        <v>1</v>
      </c>
      <c r="H33" s="119">
        <f t="shared" si="0"/>
        <v>8.8</v>
      </c>
      <c r="I33" s="120">
        <v>0.7056</v>
      </c>
      <c r="J33" s="120">
        <f t="shared" si="1"/>
        <v>0.7056</v>
      </c>
      <c r="K33" s="44" t="s">
        <v>507</v>
      </c>
      <c r="L33" s="21"/>
      <c r="T33" s="4"/>
    </row>
    <row r="34" spans="1:20" ht="16.5" customHeight="1">
      <c r="A34" s="115">
        <v>182</v>
      </c>
      <c r="B34" s="116" t="s">
        <v>53</v>
      </c>
      <c r="C34" s="116" t="s">
        <v>12</v>
      </c>
      <c r="D34" s="116" t="s">
        <v>52</v>
      </c>
      <c r="E34" s="116" t="s">
        <v>14</v>
      </c>
      <c r="F34" s="117">
        <v>11.6</v>
      </c>
      <c r="G34" s="118">
        <v>2</v>
      </c>
      <c r="H34" s="119">
        <f t="shared" si="0"/>
        <v>23.2</v>
      </c>
      <c r="I34" s="120">
        <v>0.9072</v>
      </c>
      <c r="J34" s="120">
        <f t="shared" si="1"/>
        <v>1.8144</v>
      </c>
      <c r="K34" s="44" t="s">
        <v>507</v>
      </c>
      <c r="L34" s="21"/>
      <c r="T34" s="4"/>
    </row>
    <row r="35" spans="1:20" ht="16.5" customHeight="1">
      <c r="A35" s="115">
        <v>184</v>
      </c>
      <c r="B35" s="116" t="s">
        <v>54</v>
      </c>
      <c r="C35" s="116" t="s">
        <v>12</v>
      </c>
      <c r="D35" s="116" t="s">
        <v>52</v>
      </c>
      <c r="E35" s="116" t="s">
        <v>14</v>
      </c>
      <c r="F35" s="117">
        <v>8.8</v>
      </c>
      <c r="G35" s="118">
        <v>2</v>
      </c>
      <c r="H35" s="119">
        <f t="shared" si="0"/>
        <v>17.6</v>
      </c>
      <c r="I35" s="120">
        <v>0.63</v>
      </c>
      <c r="J35" s="120">
        <f t="shared" si="1"/>
        <v>1.26</v>
      </c>
      <c r="K35" s="44" t="s">
        <v>507</v>
      </c>
      <c r="L35" s="21"/>
      <c r="T35" s="4"/>
    </row>
    <row r="36" spans="1:20" ht="16.5" customHeight="1">
      <c r="A36" s="115">
        <v>185</v>
      </c>
      <c r="B36" s="116" t="s">
        <v>55</v>
      </c>
      <c r="C36" s="116" t="s">
        <v>12</v>
      </c>
      <c r="D36" s="116" t="s">
        <v>52</v>
      </c>
      <c r="E36" s="116" t="s">
        <v>14</v>
      </c>
      <c r="F36" s="117">
        <v>7.9</v>
      </c>
      <c r="G36" s="118">
        <v>1</v>
      </c>
      <c r="H36" s="119">
        <f t="shared" si="0"/>
        <v>7.9</v>
      </c>
      <c r="I36" s="120">
        <v>0.5544</v>
      </c>
      <c r="J36" s="120">
        <f t="shared" si="1"/>
        <v>0.5544</v>
      </c>
      <c r="K36" s="44" t="s">
        <v>507</v>
      </c>
      <c r="L36" s="21"/>
      <c r="T36" s="4"/>
    </row>
    <row r="37" spans="1:20" ht="16.5" customHeight="1">
      <c r="A37" s="115">
        <v>186</v>
      </c>
      <c r="B37" s="122" t="s">
        <v>504</v>
      </c>
      <c r="C37" s="116" t="s">
        <v>12</v>
      </c>
      <c r="D37" s="116" t="s">
        <v>52</v>
      </c>
      <c r="E37" s="116" t="s">
        <v>14</v>
      </c>
      <c r="F37" s="117">
        <v>7.9</v>
      </c>
      <c r="G37" s="118">
        <v>1</v>
      </c>
      <c r="H37" s="119">
        <f t="shared" si="0"/>
        <v>7.9</v>
      </c>
      <c r="I37" s="120">
        <v>0.5544</v>
      </c>
      <c r="J37" s="120">
        <f t="shared" si="1"/>
        <v>0.5544</v>
      </c>
      <c r="K37" s="44" t="s">
        <v>507</v>
      </c>
      <c r="L37" s="21"/>
      <c r="T37" s="4"/>
    </row>
    <row r="38" spans="1:20" ht="16.5" customHeight="1">
      <c r="A38" s="115">
        <v>187</v>
      </c>
      <c r="B38" s="116" t="s">
        <v>56</v>
      </c>
      <c r="C38" s="116" t="s">
        <v>12</v>
      </c>
      <c r="D38" s="116" t="s">
        <v>52</v>
      </c>
      <c r="E38" s="116" t="s">
        <v>14</v>
      </c>
      <c r="F38" s="117">
        <v>12.3</v>
      </c>
      <c r="G38" s="118">
        <v>1</v>
      </c>
      <c r="H38" s="119">
        <f t="shared" si="0"/>
        <v>12.3</v>
      </c>
      <c r="I38" s="120">
        <v>0.8316</v>
      </c>
      <c r="J38" s="120">
        <f t="shared" si="1"/>
        <v>0.8316</v>
      </c>
      <c r="K38" s="44" t="s">
        <v>507</v>
      </c>
      <c r="L38" s="21"/>
      <c r="T38" s="4"/>
    </row>
    <row r="39" spans="1:20" ht="16.5" customHeight="1">
      <c r="A39" s="115">
        <v>188</v>
      </c>
      <c r="B39" s="116" t="s">
        <v>57</v>
      </c>
      <c r="C39" s="116" t="s">
        <v>12</v>
      </c>
      <c r="D39" s="116" t="s">
        <v>52</v>
      </c>
      <c r="E39" s="116" t="s">
        <v>14</v>
      </c>
      <c r="F39" s="117">
        <v>12.3</v>
      </c>
      <c r="G39" s="118">
        <v>1</v>
      </c>
      <c r="H39" s="119">
        <f t="shared" si="0"/>
        <v>12.3</v>
      </c>
      <c r="I39" s="120">
        <v>0.8316</v>
      </c>
      <c r="J39" s="120">
        <f t="shared" si="1"/>
        <v>0.8316</v>
      </c>
      <c r="K39" s="44" t="s">
        <v>507</v>
      </c>
      <c r="L39" s="21"/>
      <c r="T39" s="4"/>
    </row>
    <row r="40" spans="1:20" ht="16.5" customHeight="1">
      <c r="A40" s="115">
        <v>189</v>
      </c>
      <c r="B40" s="116" t="s">
        <v>58</v>
      </c>
      <c r="C40" s="116" t="s">
        <v>12</v>
      </c>
      <c r="D40" s="116" t="s">
        <v>52</v>
      </c>
      <c r="E40" s="116" t="s">
        <v>14</v>
      </c>
      <c r="F40" s="117">
        <v>13.05</v>
      </c>
      <c r="G40" s="118">
        <v>2</v>
      </c>
      <c r="H40" s="119">
        <f t="shared" si="0"/>
        <v>26.1</v>
      </c>
      <c r="I40" s="120">
        <v>0.9828000000000001</v>
      </c>
      <c r="J40" s="120">
        <f t="shared" si="1"/>
        <v>1.9656000000000002</v>
      </c>
      <c r="K40" s="44" t="s">
        <v>507</v>
      </c>
      <c r="L40" s="21"/>
      <c r="T40" s="4"/>
    </row>
    <row r="41" spans="1:20" ht="16.5" customHeight="1">
      <c r="A41" s="115">
        <v>192</v>
      </c>
      <c r="B41" s="116" t="s">
        <v>59</v>
      </c>
      <c r="C41" s="116" t="s">
        <v>12</v>
      </c>
      <c r="D41" s="116" t="s">
        <v>52</v>
      </c>
      <c r="E41" s="116" t="s">
        <v>14</v>
      </c>
      <c r="F41" s="117">
        <v>8.45</v>
      </c>
      <c r="G41" s="118">
        <v>2</v>
      </c>
      <c r="H41" s="119">
        <f t="shared" si="0"/>
        <v>16.9</v>
      </c>
      <c r="I41" s="120">
        <v>0.5292000000000001</v>
      </c>
      <c r="J41" s="120">
        <f t="shared" si="1"/>
        <v>1.0584000000000002</v>
      </c>
      <c r="K41" s="44" t="s">
        <v>507</v>
      </c>
      <c r="L41" s="21"/>
      <c r="T41" s="4"/>
    </row>
    <row r="42" spans="1:20" ht="16.5" customHeight="1">
      <c r="A42" s="115">
        <v>196</v>
      </c>
      <c r="B42" s="116" t="s">
        <v>60</v>
      </c>
      <c r="C42" s="116" t="s">
        <v>12</v>
      </c>
      <c r="D42" s="116" t="s">
        <v>52</v>
      </c>
      <c r="E42" s="116" t="s">
        <v>14</v>
      </c>
      <c r="F42" s="117">
        <v>8.45</v>
      </c>
      <c r="G42" s="118">
        <v>1</v>
      </c>
      <c r="H42" s="119">
        <f t="shared" si="0"/>
        <v>8.45</v>
      </c>
      <c r="I42" s="120">
        <v>0.5292000000000001</v>
      </c>
      <c r="J42" s="120">
        <f t="shared" si="1"/>
        <v>0.5292000000000001</v>
      </c>
      <c r="K42" s="44" t="s">
        <v>507</v>
      </c>
      <c r="L42" s="21"/>
      <c r="T42" s="4"/>
    </row>
    <row r="43" spans="1:20" ht="16.5" customHeight="1">
      <c r="A43" s="115">
        <v>197</v>
      </c>
      <c r="B43" s="116" t="s">
        <v>61</v>
      </c>
      <c r="C43" s="116" t="s">
        <v>12</v>
      </c>
      <c r="D43" s="116" t="s">
        <v>52</v>
      </c>
      <c r="E43" s="116" t="s">
        <v>14</v>
      </c>
      <c r="F43" s="121">
        <v>7.5</v>
      </c>
      <c r="G43" s="118">
        <v>1</v>
      </c>
      <c r="H43" s="119">
        <f t="shared" si="0"/>
        <v>7.5</v>
      </c>
      <c r="I43" s="120">
        <v>0.4788</v>
      </c>
      <c r="J43" s="120">
        <f t="shared" si="1"/>
        <v>0.4788</v>
      </c>
      <c r="K43" s="44" t="s">
        <v>507</v>
      </c>
      <c r="L43" s="21"/>
      <c r="T43" s="4"/>
    </row>
    <row r="44" spans="1:20" ht="16.5" customHeight="1">
      <c r="A44" s="115">
        <v>198</v>
      </c>
      <c r="B44" s="116" t="s">
        <v>62</v>
      </c>
      <c r="C44" s="116" t="s">
        <v>12</v>
      </c>
      <c r="D44" s="116" t="s">
        <v>52</v>
      </c>
      <c r="E44" s="116" t="s">
        <v>14</v>
      </c>
      <c r="F44" s="121">
        <v>7</v>
      </c>
      <c r="G44" s="118">
        <v>3</v>
      </c>
      <c r="H44" s="119">
        <f t="shared" si="0"/>
        <v>21</v>
      </c>
      <c r="I44" s="120">
        <v>0.5544</v>
      </c>
      <c r="J44" s="120">
        <f t="shared" si="1"/>
        <v>1.6632</v>
      </c>
      <c r="K44" s="44" t="s">
        <v>507</v>
      </c>
      <c r="L44" s="21"/>
      <c r="T44" s="4"/>
    </row>
    <row r="45" spans="1:20" ht="16.5" customHeight="1">
      <c r="A45" s="115">
        <v>199</v>
      </c>
      <c r="B45" s="116" t="s">
        <v>63</v>
      </c>
      <c r="C45" s="116" t="s">
        <v>12</v>
      </c>
      <c r="D45" s="116" t="s">
        <v>52</v>
      </c>
      <c r="E45" s="116" t="s">
        <v>14</v>
      </c>
      <c r="F45" s="117">
        <v>13.8</v>
      </c>
      <c r="G45" s="118">
        <v>3</v>
      </c>
      <c r="H45" s="119">
        <f t="shared" si="0"/>
        <v>41.400000000000006</v>
      </c>
      <c r="I45" s="120">
        <v>1.0332000000000001</v>
      </c>
      <c r="J45" s="120">
        <f t="shared" si="1"/>
        <v>3.0996000000000006</v>
      </c>
      <c r="K45" s="44" t="s">
        <v>507</v>
      </c>
      <c r="L45" s="21"/>
      <c r="T45" s="4"/>
    </row>
    <row r="46" spans="1:20" ht="16.5" customHeight="1">
      <c r="A46" s="115">
        <v>200</v>
      </c>
      <c r="B46" s="116" t="s">
        <v>64</v>
      </c>
      <c r="C46" s="116" t="s">
        <v>12</v>
      </c>
      <c r="D46" s="116" t="s">
        <v>52</v>
      </c>
      <c r="E46" s="116" t="s">
        <v>14</v>
      </c>
      <c r="F46" s="117">
        <v>12.52</v>
      </c>
      <c r="G46" s="118">
        <v>1</v>
      </c>
      <c r="H46" s="119">
        <f t="shared" si="0"/>
        <v>12.52</v>
      </c>
      <c r="I46" s="120">
        <v>1.0584000000000002</v>
      </c>
      <c r="J46" s="120">
        <f t="shared" si="1"/>
        <v>1.0584000000000002</v>
      </c>
      <c r="K46" s="44" t="s">
        <v>507</v>
      </c>
      <c r="L46" s="21"/>
      <c r="T46" s="4"/>
    </row>
    <row r="47" spans="1:20" ht="16.5" customHeight="1">
      <c r="A47" s="115">
        <v>201</v>
      </c>
      <c r="B47" s="116" t="s">
        <v>65</v>
      </c>
      <c r="C47" s="116" t="s">
        <v>12</v>
      </c>
      <c r="D47" s="116" t="s">
        <v>52</v>
      </c>
      <c r="E47" s="116" t="s">
        <v>14</v>
      </c>
      <c r="F47" s="121">
        <v>11.2</v>
      </c>
      <c r="G47" s="118">
        <v>2</v>
      </c>
      <c r="H47" s="119">
        <f t="shared" si="0"/>
        <v>22.4</v>
      </c>
      <c r="I47" s="120">
        <v>0.7812</v>
      </c>
      <c r="J47" s="120">
        <f t="shared" si="1"/>
        <v>1.5624</v>
      </c>
      <c r="K47" s="44" t="s">
        <v>507</v>
      </c>
      <c r="L47" s="21"/>
      <c r="T47" s="4"/>
    </row>
    <row r="48" spans="1:20" ht="16.5" customHeight="1">
      <c r="A48" s="115">
        <v>203</v>
      </c>
      <c r="B48" s="116" t="s">
        <v>66</v>
      </c>
      <c r="C48" s="116" t="s">
        <v>12</v>
      </c>
      <c r="D48" s="116" t="s">
        <v>52</v>
      </c>
      <c r="E48" s="116" t="s">
        <v>14</v>
      </c>
      <c r="F48" s="117">
        <v>13.05</v>
      </c>
      <c r="G48" s="118">
        <v>1</v>
      </c>
      <c r="H48" s="119">
        <f t="shared" si="0"/>
        <v>13.05</v>
      </c>
      <c r="I48" s="120">
        <v>1.0332000000000001</v>
      </c>
      <c r="J48" s="120">
        <f t="shared" si="1"/>
        <v>1.0332000000000001</v>
      </c>
      <c r="K48" s="44" t="s">
        <v>507</v>
      </c>
      <c r="L48" s="21"/>
      <c r="T48" s="4"/>
    </row>
    <row r="49" spans="1:20" ht="16.5" customHeight="1">
      <c r="A49" s="115">
        <v>204</v>
      </c>
      <c r="B49" s="116" t="s">
        <v>67</v>
      </c>
      <c r="C49" s="116" t="s">
        <v>12</v>
      </c>
      <c r="D49" s="116" t="s">
        <v>52</v>
      </c>
      <c r="E49" s="116" t="s">
        <v>14</v>
      </c>
      <c r="F49" s="117">
        <v>13.05</v>
      </c>
      <c r="G49" s="118">
        <v>2</v>
      </c>
      <c r="H49" s="119">
        <f t="shared" si="0"/>
        <v>26.1</v>
      </c>
      <c r="I49" s="120">
        <v>1.0332000000000001</v>
      </c>
      <c r="J49" s="120">
        <f t="shared" si="1"/>
        <v>2.0664000000000002</v>
      </c>
      <c r="K49" s="44" t="s">
        <v>507</v>
      </c>
      <c r="L49" s="21"/>
      <c r="T49" s="4"/>
    </row>
    <row r="50" spans="1:20" ht="16.5" customHeight="1">
      <c r="A50" s="115">
        <v>211</v>
      </c>
      <c r="B50" s="116" t="s">
        <v>68</v>
      </c>
      <c r="C50" s="116" t="s">
        <v>12</v>
      </c>
      <c r="D50" s="116" t="s">
        <v>17</v>
      </c>
      <c r="E50" s="116" t="s">
        <v>14</v>
      </c>
      <c r="F50" s="117">
        <v>37.7</v>
      </c>
      <c r="G50" s="118">
        <v>1</v>
      </c>
      <c r="H50" s="119">
        <f t="shared" si="0"/>
        <v>37.7</v>
      </c>
      <c r="I50" s="120">
        <v>3.3264</v>
      </c>
      <c r="J50" s="120">
        <f t="shared" si="1"/>
        <v>3.3264</v>
      </c>
      <c r="K50" s="44" t="s">
        <v>507</v>
      </c>
      <c r="L50" s="21"/>
      <c r="T50" s="4"/>
    </row>
    <row r="51" spans="1:20" ht="16.5" customHeight="1">
      <c r="A51" s="115">
        <v>220</v>
      </c>
      <c r="B51" s="116" t="s">
        <v>69</v>
      </c>
      <c r="C51" s="116" t="s">
        <v>12</v>
      </c>
      <c r="D51" s="116" t="s">
        <v>47</v>
      </c>
      <c r="E51" s="116" t="s">
        <v>14</v>
      </c>
      <c r="F51" s="121">
        <v>90</v>
      </c>
      <c r="G51" s="118">
        <f>1</f>
        <v>1</v>
      </c>
      <c r="H51" s="119">
        <f t="shared" si="0"/>
        <v>90</v>
      </c>
      <c r="I51" s="120">
        <v>6.048</v>
      </c>
      <c r="J51" s="120">
        <f t="shared" si="1"/>
        <v>6.048</v>
      </c>
      <c r="K51" s="44" t="s">
        <v>507</v>
      </c>
      <c r="L51" s="21"/>
      <c r="T51" s="4"/>
    </row>
    <row r="52" spans="1:20" ht="16.5" customHeight="1">
      <c r="A52" s="115">
        <v>299</v>
      </c>
      <c r="B52" s="116" t="s">
        <v>71</v>
      </c>
      <c r="C52" s="116" t="s">
        <v>12</v>
      </c>
      <c r="D52" s="116" t="s">
        <v>20</v>
      </c>
      <c r="E52" s="116" t="s">
        <v>14</v>
      </c>
      <c r="F52" s="117">
        <v>42</v>
      </c>
      <c r="G52" s="118">
        <v>1</v>
      </c>
      <c r="H52" s="119">
        <f t="shared" si="0"/>
        <v>42</v>
      </c>
      <c r="I52" s="120">
        <v>3.024</v>
      </c>
      <c r="J52" s="120">
        <f t="shared" si="1"/>
        <v>3.024</v>
      </c>
      <c r="K52" s="44" t="s">
        <v>507</v>
      </c>
      <c r="L52" s="21"/>
      <c r="T52" s="4"/>
    </row>
    <row r="53" spans="1:20" ht="16.5" customHeight="1">
      <c r="A53" s="115">
        <v>307</v>
      </c>
      <c r="B53" s="116" t="s">
        <v>72</v>
      </c>
      <c r="C53" s="116" t="s">
        <v>12</v>
      </c>
      <c r="D53" s="116" t="s">
        <v>13</v>
      </c>
      <c r="E53" s="116" t="s">
        <v>14</v>
      </c>
      <c r="F53" s="117">
        <v>15</v>
      </c>
      <c r="G53" s="118">
        <v>2</v>
      </c>
      <c r="H53" s="119">
        <f t="shared" si="0"/>
        <v>30</v>
      </c>
      <c r="I53" s="120">
        <v>1.2852</v>
      </c>
      <c r="J53" s="120">
        <f t="shared" si="1"/>
        <v>2.5704</v>
      </c>
      <c r="K53" s="44" t="s">
        <v>507</v>
      </c>
      <c r="L53" s="21"/>
      <c r="T53" s="4"/>
    </row>
    <row r="54" spans="1:20" ht="16.5" customHeight="1">
      <c r="A54" s="115">
        <v>315</v>
      </c>
      <c r="B54" s="116" t="s">
        <v>73</v>
      </c>
      <c r="C54" s="116" t="s">
        <v>74</v>
      </c>
      <c r="D54" s="116" t="s">
        <v>14</v>
      </c>
      <c r="E54" s="116" t="s">
        <v>75</v>
      </c>
      <c r="F54" s="121">
        <v>25</v>
      </c>
      <c r="G54" s="118">
        <v>1</v>
      </c>
      <c r="H54" s="119">
        <f t="shared" si="0"/>
        <v>25</v>
      </c>
      <c r="I54" s="120">
        <v>2.0412</v>
      </c>
      <c r="J54" s="120">
        <f t="shared" si="1"/>
        <v>2.0412</v>
      </c>
      <c r="K54" s="44" t="s">
        <v>507</v>
      </c>
      <c r="L54" s="21"/>
      <c r="T54" s="4"/>
    </row>
    <row r="55" spans="1:20" ht="16.5" customHeight="1">
      <c r="A55" s="115">
        <v>331</v>
      </c>
      <c r="B55" s="116" t="s">
        <v>76</v>
      </c>
      <c r="C55" s="116" t="s">
        <v>74</v>
      </c>
      <c r="D55" s="116" t="s">
        <v>14</v>
      </c>
      <c r="E55" s="116" t="s">
        <v>77</v>
      </c>
      <c r="F55" s="121">
        <v>50</v>
      </c>
      <c r="G55" s="118">
        <v>1</v>
      </c>
      <c r="H55" s="119">
        <f t="shared" si="0"/>
        <v>50</v>
      </c>
      <c r="I55" s="120">
        <v>4.309200000000001</v>
      </c>
      <c r="J55" s="120">
        <f t="shared" si="1"/>
        <v>4.309200000000001</v>
      </c>
      <c r="K55" s="44" t="s">
        <v>507</v>
      </c>
      <c r="L55" s="21"/>
      <c r="T55" s="4"/>
    </row>
    <row r="56" spans="1:20" ht="16.5" customHeight="1">
      <c r="A56" s="115">
        <v>340</v>
      </c>
      <c r="B56" s="116" t="s">
        <v>78</v>
      </c>
      <c r="C56" s="116" t="s">
        <v>74</v>
      </c>
      <c r="D56" s="116" t="s">
        <v>14</v>
      </c>
      <c r="E56" s="116" t="s">
        <v>75</v>
      </c>
      <c r="F56" s="121">
        <v>35</v>
      </c>
      <c r="G56" s="118">
        <v>13</v>
      </c>
      <c r="H56" s="119">
        <f t="shared" si="0"/>
        <v>455</v>
      </c>
      <c r="I56" s="120">
        <v>2.7720000000000002</v>
      </c>
      <c r="J56" s="120">
        <f t="shared" si="1"/>
        <v>36.036</v>
      </c>
      <c r="K56" s="44" t="s">
        <v>507</v>
      </c>
      <c r="L56" s="21"/>
      <c r="T56" s="4"/>
    </row>
    <row r="57" spans="1:20" ht="16.5" customHeight="1">
      <c r="A57" s="115">
        <v>348</v>
      </c>
      <c r="B57" s="116" t="s">
        <v>79</v>
      </c>
      <c r="C57" s="116" t="s">
        <v>74</v>
      </c>
      <c r="D57" s="116" t="s">
        <v>14</v>
      </c>
      <c r="E57" s="116" t="s">
        <v>80</v>
      </c>
      <c r="F57" s="117">
        <v>18.5</v>
      </c>
      <c r="G57" s="118">
        <v>1</v>
      </c>
      <c r="H57" s="119">
        <f t="shared" si="0"/>
        <v>18.5</v>
      </c>
      <c r="I57" s="120">
        <v>1.5624</v>
      </c>
      <c r="J57" s="120">
        <f t="shared" si="1"/>
        <v>1.5624</v>
      </c>
      <c r="K57" s="44" t="s">
        <v>507</v>
      </c>
      <c r="L57" s="21"/>
      <c r="T57" s="4"/>
    </row>
    <row r="58" spans="1:20" ht="16.5" customHeight="1">
      <c r="A58" s="115">
        <v>455</v>
      </c>
      <c r="B58" s="116" t="s">
        <v>84</v>
      </c>
      <c r="C58" s="116" t="s">
        <v>12</v>
      </c>
      <c r="D58" s="116" t="s">
        <v>20</v>
      </c>
      <c r="E58" s="116" t="s">
        <v>14</v>
      </c>
      <c r="F58" s="121">
        <v>57</v>
      </c>
      <c r="G58" s="118">
        <v>2</v>
      </c>
      <c r="H58" s="119">
        <f t="shared" si="0"/>
        <v>114</v>
      </c>
      <c r="I58" s="120">
        <v>3.024</v>
      </c>
      <c r="J58" s="120">
        <f t="shared" si="1"/>
        <v>6.048</v>
      </c>
      <c r="K58" s="44" t="s">
        <v>507</v>
      </c>
      <c r="L58" s="21"/>
      <c r="T58" s="4"/>
    </row>
    <row r="59" spans="1:20" ht="16.5" customHeight="1">
      <c r="A59" s="115">
        <v>460</v>
      </c>
      <c r="B59" s="116" t="s">
        <v>85</v>
      </c>
      <c r="C59" s="116" t="s">
        <v>12</v>
      </c>
      <c r="D59" s="116" t="s">
        <v>13</v>
      </c>
      <c r="E59" s="116" t="s">
        <v>14</v>
      </c>
      <c r="F59" s="121">
        <v>37</v>
      </c>
      <c r="G59" s="118">
        <f>1</f>
        <v>1</v>
      </c>
      <c r="H59" s="119">
        <f t="shared" si="0"/>
        <v>37</v>
      </c>
      <c r="I59" s="120">
        <v>3.15</v>
      </c>
      <c r="J59" s="120">
        <f t="shared" si="1"/>
        <v>3.15</v>
      </c>
      <c r="K59" s="44" t="s">
        <v>507</v>
      </c>
      <c r="L59" s="21"/>
      <c r="T59" s="4"/>
    </row>
    <row r="60" spans="1:20" ht="16.5" customHeight="1">
      <c r="A60" s="115">
        <v>492</v>
      </c>
      <c r="B60" s="116" t="s">
        <v>72</v>
      </c>
      <c r="C60" s="116" t="s">
        <v>12</v>
      </c>
      <c r="D60" s="116" t="s">
        <v>13</v>
      </c>
      <c r="E60" s="116" t="s">
        <v>14</v>
      </c>
      <c r="F60" s="117">
        <v>15</v>
      </c>
      <c r="G60" s="118">
        <f>3</f>
        <v>3</v>
      </c>
      <c r="H60" s="119">
        <f t="shared" si="0"/>
        <v>45</v>
      </c>
      <c r="I60" s="120">
        <v>1.134</v>
      </c>
      <c r="J60" s="120">
        <f t="shared" si="1"/>
        <v>3.4019999999999997</v>
      </c>
      <c r="K60" s="44" t="s">
        <v>507</v>
      </c>
      <c r="L60" s="21"/>
      <c r="T60" s="4"/>
    </row>
    <row r="61" spans="1:20" ht="16.5" customHeight="1">
      <c r="A61" s="115">
        <v>517</v>
      </c>
      <c r="B61" s="116" t="s">
        <v>86</v>
      </c>
      <c r="C61" s="116" t="s">
        <v>12</v>
      </c>
      <c r="D61" s="116" t="s">
        <v>52</v>
      </c>
      <c r="E61" s="116" t="s">
        <v>14</v>
      </c>
      <c r="F61" s="117">
        <v>7</v>
      </c>
      <c r="G61" s="118">
        <v>2</v>
      </c>
      <c r="H61" s="119">
        <f t="shared" si="0"/>
        <v>14</v>
      </c>
      <c r="I61" s="120">
        <v>0.4536</v>
      </c>
      <c r="J61" s="120">
        <f t="shared" si="1"/>
        <v>0.9072</v>
      </c>
      <c r="K61" s="44" t="s">
        <v>507</v>
      </c>
      <c r="L61" s="21"/>
      <c r="T61" s="4"/>
    </row>
    <row r="62" spans="1:20" ht="16.5" customHeight="1">
      <c r="A62" s="115">
        <v>519</v>
      </c>
      <c r="B62" s="116" t="s">
        <v>87</v>
      </c>
      <c r="C62" s="116" t="s">
        <v>12</v>
      </c>
      <c r="D62" s="116" t="s">
        <v>52</v>
      </c>
      <c r="E62" s="116" t="s">
        <v>14</v>
      </c>
      <c r="F62" s="121">
        <v>8.45</v>
      </c>
      <c r="G62" s="118">
        <v>2</v>
      </c>
      <c r="H62" s="119">
        <f t="shared" si="0"/>
        <v>16.9</v>
      </c>
      <c r="I62" s="120">
        <v>0.5292000000000001</v>
      </c>
      <c r="J62" s="120">
        <f t="shared" si="1"/>
        <v>1.0584000000000002</v>
      </c>
      <c r="K62" s="44" t="s">
        <v>507</v>
      </c>
      <c r="L62" s="21"/>
      <c r="T62" s="4"/>
    </row>
    <row r="63" spans="1:20" ht="16.5" customHeight="1">
      <c r="A63" s="115">
        <v>520</v>
      </c>
      <c r="B63" s="116" t="s">
        <v>88</v>
      </c>
      <c r="C63" s="116" t="s">
        <v>12</v>
      </c>
      <c r="D63" s="116" t="s">
        <v>52</v>
      </c>
      <c r="E63" s="116" t="s">
        <v>14</v>
      </c>
      <c r="F63" s="117">
        <v>9</v>
      </c>
      <c r="G63" s="118">
        <v>1</v>
      </c>
      <c r="H63" s="119">
        <f t="shared" si="0"/>
        <v>9</v>
      </c>
      <c r="I63" s="120">
        <v>0.6047999999999999</v>
      </c>
      <c r="J63" s="120">
        <f t="shared" si="1"/>
        <v>0.6047999999999999</v>
      </c>
      <c r="K63" s="44" t="s">
        <v>507</v>
      </c>
      <c r="L63" s="21"/>
      <c r="T63" s="4"/>
    </row>
    <row r="64" spans="1:20" ht="16.5" customHeight="1">
      <c r="A64" s="115">
        <v>521</v>
      </c>
      <c r="B64" s="116" t="s">
        <v>89</v>
      </c>
      <c r="C64" s="116" t="s">
        <v>12</v>
      </c>
      <c r="D64" s="116" t="s">
        <v>52</v>
      </c>
      <c r="E64" s="116" t="s">
        <v>14</v>
      </c>
      <c r="F64" s="121">
        <v>13.05</v>
      </c>
      <c r="G64" s="118">
        <v>1</v>
      </c>
      <c r="H64" s="119">
        <f t="shared" si="0"/>
        <v>13.05</v>
      </c>
      <c r="I64" s="120">
        <v>0.9072</v>
      </c>
      <c r="J64" s="120">
        <f t="shared" si="1"/>
        <v>0.9072</v>
      </c>
      <c r="K64" s="44" t="s">
        <v>507</v>
      </c>
      <c r="L64" s="21"/>
      <c r="T64" s="4"/>
    </row>
    <row r="65" spans="1:20" ht="16.5" customHeight="1">
      <c r="A65" s="115">
        <v>522</v>
      </c>
      <c r="B65" s="116" t="s">
        <v>90</v>
      </c>
      <c r="C65" s="116" t="s">
        <v>12</v>
      </c>
      <c r="D65" s="116" t="s">
        <v>52</v>
      </c>
      <c r="E65" s="116" t="s">
        <v>14</v>
      </c>
      <c r="F65" s="117">
        <v>8.2</v>
      </c>
      <c r="G65" s="118">
        <v>1</v>
      </c>
      <c r="H65" s="119">
        <f t="shared" si="0"/>
        <v>8.2</v>
      </c>
      <c r="I65" s="120">
        <v>0.5292000000000001</v>
      </c>
      <c r="J65" s="120">
        <f t="shared" si="1"/>
        <v>0.5292000000000001</v>
      </c>
      <c r="K65" s="44" t="s">
        <v>507</v>
      </c>
      <c r="L65" s="21"/>
      <c r="T65" s="4"/>
    </row>
    <row r="66" spans="1:20" ht="16.5" customHeight="1">
      <c r="A66" s="115">
        <v>523</v>
      </c>
      <c r="B66" s="116" t="s">
        <v>91</v>
      </c>
      <c r="C66" s="116" t="s">
        <v>12</v>
      </c>
      <c r="D66" s="116" t="s">
        <v>52</v>
      </c>
      <c r="E66" s="116" t="s">
        <v>14</v>
      </c>
      <c r="F66" s="117">
        <v>11.6</v>
      </c>
      <c r="G66" s="118">
        <v>2</v>
      </c>
      <c r="H66" s="119">
        <f t="shared" si="0"/>
        <v>23.2</v>
      </c>
      <c r="I66" s="120">
        <v>0.9576</v>
      </c>
      <c r="J66" s="120">
        <f t="shared" si="1"/>
        <v>1.9152</v>
      </c>
      <c r="K66" s="44" t="s">
        <v>507</v>
      </c>
      <c r="L66" s="21"/>
      <c r="T66" s="4"/>
    </row>
    <row r="67" spans="1:20" ht="16.5" customHeight="1">
      <c r="A67" s="115">
        <v>524</v>
      </c>
      <c r="B67" s="116" t="s">
        <v>92</v>
      </c>
      <c r="C67" s="116" t="s">
        <v>12</v>
      </c>
      <c r="D67" s="116" t="s">
        <v>52</v>
      </c>
      <c r="E67" s="116" t="s">
        <v>14</v>
      </c>
      <c r="F67" s="121">
        <v>8.5</v>
      </c>
      <c r="G67" s="118">
        <v>3</v>
      </c>
      <c r="H67" s="119">
        <f t="shared" si="0"/>
        <v>25.5</v>
      </c>
      <c r="I67" s="120">
        <v>0.6047999999999999</v>
      </c>
      <c r="J67" s="120">
        <f t="shared" si="1"/>
        <v>1.8143999999999996</v>
      </c>
      <c r="K67" s="44" t="s">
        <v>507</v>
      </c>
      <c r="L67" s="21"/>
      <c r="T67" s="4"/>
    </row>
    <row r="68" spans="1:20" ht="16.5" customHeight="1">
      <c r="A68" s="115">
        <v>525</v>
      </c>
      <c r="B68" s="116" t="s">
        <v>93</v>
      </c>
      <c r="C68" s="116" t="s">
        <v>12</v>
      </c>
      <c r="D68" s="116" t="s">
        <v>52</v>
      </c>
      <c r="E68" s="116" t="s">
        <v>14</v>
      </c>
      <c r="F68" s="121">
        <v>6.6</v>
      </c>
      <c r="G68" s="118">
        <v>2</v>
      </c>
      <c r="H68" s="119">
        <f t="shared" si="0"/>
        <v>13.2</v>
      </c>
      <c r="I68" s="120">
        <v>0.4788</v>
      </c>
      <c r="J68" s="120">
        <f t="shared" si="1"/>
        <v>0.9576</v>
      </c>
      <c r="K68" s="44" t="s">
        <v>507</v>
      </c>
      <c r="L68" s="21"/>
      <c r="T68" s="4"/>
    </row>
    <row r="69" spans="1:20" ht="16.5" customHeight="1">
      <c r="A69" s="115">
        <v>526</v>
      </c>
      <c r="B69" s="116" t="s">
        <v>94</v>
      </c>
      <c r="C69" s="116" t="s">
        <v>12</v>
      </c>
      <c r="D69" s="116" t="s">
        <v>52</v>
      </c>
      <c r="E69" s="116" t="s">
        <v>14</v>
      </c>
      <c r="F69" s="117">
        <v>14.1</v>
      </c>
      <c r="G69" s="118">
        <v>1</v>
      </c>
      <c r="H69" s="119">
        <f t="shared" si="0"/>
        <v>14.1</v>
      </c>
      <c r="I69" s="120">
        <v>1.0332000000000001</v>
      </c>
      <c r="J69" s="120">
        <f t="shared" si="1"/>
        <v>1.0332000000000001</v>
      </c>
      <c r="K69" s="44" t="s">
        <v>507</v>
      </c>
      <c r="L69" s="21"/>
      <c r="T69" s="4"/>
    </row>
    <row r="70" spans="1:20" ht="16.5" customHeight="1">
      <c r="A70" s="115">
        <v>527</v>
      </c>
      <c r="B70" s="116" t="s">
        <v>95</v>
      </c>
      <c r="C70" s="116" t="s">
        <v>12</v>
      </c>
      <c r="D70" s="116" t="s">
        <v>52</v>
      </c>
      <c r="E70" s="116" t="s">
        <v>14</v>
      </c>
      <c r="F70" s="121">
        <v>7.4</v>
      </c>
      <c r="G70" s="118">
        <v>2</v>
      </c>
      <c r="H70" s="119">
        <f t="shared" si="0"/>
        <v>14.8</v>
      </c>
      <c r="I70" s="120">
        <v>0.5292000000000001</v>
      </c>
      <c r="J70" s="120">
        <f t="shared" si="1"/>
        <v>1.0584000000000002</v>
      </c>
      <c r="K70" s="44" t="s">
        <v>507</v>
      </c>
      <c r="L70" s="21"/>
      <c r="T70" s="4"/>
    </row>
    <row r="71" spans="1:20" ht="16.5" customHeight="1">
      <c r="A71" s="115">
        <v>528</v>
      </c>
      <c r="B71" s="116" t="s">
        <v>96</v>
      </c>
      <c r="C71" s="116" t="s">
        <v>12</v>
      </c>
      <c r="D71" s="116" t="s">
        <v>52</v>
      </c>
      <c r="E71" s="116" t="s">
        <v>14</v>
      </c>
      <c r="F71" s="117">
        <v>7.9</v>
      </c>
      <c r="G71" s="118">
        <v>2</v>
      </c>
      <c r="H71" s="119">
        <f aca="true" t="shared" si="2" ref="H71:H134">G71*F71</f>
        <v>15.8</v>
      </c>
      <c r="I71" s="120">
        <v>0.567</v>
      </c>
      <c r="J71" s="120">
        <f aca="true" t="shared" si="3" ref="J71:J134">G71*I71</f>
        <v>1.134</v>
      </c>
      <c r="K71" s="44" t="s">
        <v>507</v>
      </c>
      <c r="L71" s="21"/>
      <c r="T71" s="4"/>
    </row>
    <row r="72" spans="1:20" ht="16.5" customHeight="1">
      <c r="A72" s="115">
        <v>539</v>
      </c>
      <c r="B72" s="116" t="s">
        <v>97</v>
      </c>
      <c r="C72" s="116" t="s">
        <v>74</v>
      </c>
      <c r="D72" s="116" t="s">
        <v>14</v>
      </c>
      <c r="E72" s="116" t="s">
        <v>98</v>
      </c>
      <c r="F72" s="121">
        <v>23</v>
      </c>
      <c r="G72" s="118">
        <v>5</v>
      </c>
      <c r="H72" s="119">
        <f t="shared" si="2"/>
        <v>115</v>
      </c>
      <c r="I72" s="120">
        <v>1.7892</v>
      </c>
      <c r="J72" s="120">
        <f t="shared" si="3"/>
        <v>8.946</v>
      </c>
      <c r="K72" s="44" t="s">
        <v>507</v>
      </c>
      <c r="L72" s="21"/>
      <c r="T72" s="4"/>
    </row>
    <row r="73" spans="1:20" ht="16.5" customHeight="1">
      <c r="A73" s="115">
        <v>540</v>
      </c>
      <c r="B73" s="116" t="s">
        <v>99</v>
      </c>
      <c r="C73" s="116" t="s">
        <v>74</v>
      </c>
      <c r="D73" s="116" t="s">
        <v>14</v>
      </c>
      <c r="E73" s="116" t="s">
        <v>98</v>
      </c>
      <c r="F73" s="121">
        <v>63</v>
      </c>
      <c r="G73" s="118">
        <v>2</v>
      </c>
      <c r="H73" s="119">
        <f t="shared" si="2"/>
        <v>126</v>
      </c>
      <c r="I73" s="120">
        <v>4.158</v>
      </c>
      <c r="J73" s="120">
        <f t="shared" si="3"/>
        <v>8.316</v>
      </c>
      <c r="K73" s="44" t="s">
        <v>507</v>
      </c>
      <c r="L73" s="21"/>
      <c r="T73" s="4"/>
    </row>
    <row r="74" spans="1:20" ht="16.5" customHeight="1">
      <c r="A74" s="115">
        <v>551</v>
      </c>
      <c r="B74" s="116" t="s">
        <v>100</v>
      </c>
      <c r="C74" s="116" t="s">
        <v>12</v>
      </c>
      <c r="D74" s="116" t="s">
        <v>13</v>
      </c>
      <c r="E74" s="116" t="s">
        <v>14</v>
      </c>
      <c r="F74" s="117">
        <v>16.8</v>
      </c>
      <c r="G74" s="118">
        <f>1</f>
        <v>1</v>
      </c>
      <c r="H74" s="119">
        <f t="shared" si="2"/>
        <v>16.8</v>
      </c>
      <c r="I74" s="120">
        <v>1.2852</v>
      </c>
      <c r="J74" s="120">
        <f t="shared" si="3"/>
        <v>1.2852</v>
      </c>
      <c r="K74" s="44" t="s">
        <v>507</v>
      </c>
      <c r="L74" s="21"/>
      <c r="T74" s="4"/>
    </row>
    <row r="75" spans="1:20" ht="16.5" customHeight="1">
      <c r="A75" s="115">
        <v>648</v>
      </c>
      <c r="B75" s="116" t="s">
        <v>102</v>
      </c>
      <c r="C75" s="116" t="s">
        <v>12</v>
      </c>
      <c r="D75" s="116" t="s">
        <v>103</v>
      </c>
      <c r="E75" s="116" t="s">
        <v>14</v>
      </c>
      <c r="F75" s="121">
        <v>85</v>
      </c>
      <c r="G75" s="118">
        <f>1+1</f>
        <v>2</v>
      </c>
      <c r="H75" s="119">
        <f t="shared" si="2"/>
        <v>170</v>
      </c>
      <c r="I75" s="120">
        <v>5.796</v>
      </c>
      <c r="J75" s="120">
        <f t="shared" si="3"/>
        <v>11.592</v>
      </c>
      <c r="K75" s="44" t="s">
        <v>507</v>
      </c>
      <c r="L75" s="21"/>
      <c r="T75" s="4"/>
    </row>
    <row r="76" spans="1:20" ht="16.5" customHeight="1">
      <c r="A76" s="115">
        <v>649</v>
      </c>
      <c r="B76" s="116" t="s">
        <v>224</v>
      </c>
      <c r="C76" s="116" t="s">
        <v>12</v>
      </c>
      <c r="D76" s="116" t="s">
        <v>103</v>
      </c>
      <c r="E76" s="116" t="s">
        <v>14</v>
      </c>
      <c r="F76" s="121">
        <v>21.3</v>
      </c>
      <c r="G76" s="118">
        <f>2</f>
        <v>2</v>
      </c>
      <c r="H76" s="119">
        <f t="shared" si="2"/>
        <v>42.6</v>
      </c>
      <c r="I76" s="120">
        <v>1.5371999999999997</v>
      </c>
      <c r="J76" s="120">
        <f t="shared" si="3"/>
        <v>3.0743999999999994</v>
      </c>
      <c r="K76" s="44" t="s">
        <v>507</v>
      </c>
      <c r="L76" s="21"/>
      <c r="T76" s="4"/>
    </row>
    <row r="77" spans="1:20" ht="16.5" customHeight="1">
      <c r="A77" s="115">
        <v>650</v>
      </c>
      <c r="B77" s="116" t="s">
        <v>225</v>
      </c>
      <c r="C77" s="116" t="s">
        <v>12</v>
      </c>
      <c r="D77" s="116" t="s">
        <v>103</v>
      </c>
      <c r="E77" s="116" t="s">
        <v>14</v>
      </c>
      <c r="F77" s="117">
        <v>34.7</v>
      </c>
      <c r="G77" s="118">
        <f>1</f>
        <v>1</v>
      </c>
      <c r="H77" s="119">
        <f t="shared" si="2"/>
        <v>34.7</v>
      </c>
      <c r="I77" s="120">
        <v>2.898</v>
      </c>
      <c r="J77" s="120">
        <f t="shared" si="3"/>
        <v>2.898</v>
      </c>
      <c r="K77" s="44" t="s">
        <v>507</v>
      </c>
      <c r="L77" s="21"/>
      <c r="T77" s="4"/>
    </row>
    <row r="78" spans="1:20" ht="16.5" customHeight="1">
      <c r="A78" s="115">
        <v>655</v>
      </c>
      <c r="B78" s="116" t="s">
        <v>226</v>
      </c>
      <c r="C78" s="116" t="s">
        <v>74</v>
      </c>
      <c r="D78" s="116" t="s">
        <v>14</v>
      </c>
      <c r="E78" s="116" t="s">
        <v>98</v>
      </c>
      <c r="F78" s="121">
        <v>25</v>
      </c>
      <c r="G78" s="118">
        <v>1</v>
      </c>
      <c r="H78" s="119">
        <f t="shared" si="2"/>
        <v>25</v>
      </c>
      <c r="I78" s="120">
        <v>1.9908000000000001</v>
      </c>
      <c r="J78" s="120">
        <f t="shared" si="3"/>
        <v>1.9908000000000001</v>
      </c>
      <c r="K78" s="44" t="s">
        <v>507</v>
      </c>
      <c r="L78" s="21"/>
      <c r="T78" s="4"/>
    </row>
    <row r="79" spans="1:20" ht="16.5" customHeight="1">
      <c r="A79" s="115">
        <v>656</v>
      </c>
      <c r="B79" s="116" t="s">
        <v>227</v>
      </c>
      <c r="C79" s="116" t="s">
        <v>74</v>
      </c>
      <c r="D79" s="116" t="s">
        <v>14</v>
      </c>
      <c r="E79" s="116" t="s">
        <v>98</v>
      </c>
      <c r="F79" s="121">
        <v>52</v>
      </c>
      <c r="G79" s="118">
        <v>5</v>
      </c>
      <c r="H79" s="119">
        <f t="shared" si="2"/>
        <v>260</v>
      </c>
      <c r="I79" s="120">
        <v>3.15</v>
      </c>
      <c r="J79" s="120">
        <f t="shared" si="3"/>
        <v>15.75</v>
      </c>
      <c r="K79" s="44" t="s">
        <v>507</v>
      </c>
      <c r="L79" s="21"/>
      <c r="T79" s="4"/>
    </row>
    <row r="80" spans="1:20" ht="16.5" customHeight="1">
      <c r="A80" s="115">
        <v>657</v>
      </c>
      <c r="B80" s="116" t="s">
        <v>228</v>
      </c>
      <c r="C80" s="116" t="s">
        <v>74</v>
      </c>
      <c r="D80" s="116" t="s">
        <v>14</v>
      </c>
      <c r="E80" s="116" t="s">
        <v>98</v>
      </c>
      <c r="F80" s="121">
        <v>114</v>
      </c>
      <c r="G80" s="118">
        <v>3</v>
      </c>
      <c r="H80" s="119">
        <f t="shared" si="2"/>
        <v>342</v>
      </c>
      <c r="I80" s="120">
        <v>8.064</v>
      </c>
      <c r="J80" s="120">
        <f t="shared" si="3"/>
        <v>24.192</v>
      </c>
      <c r="K80" s="44" t="s">
        <v>507</v>
      </c>
      <c r="L80" s="21"/>
      <c r="T80" s="4"/>
    </row>
    <row r="81" spans="1:20" ht="16.5" customHeight="1">
      <c r="A81" s="115">
        <v>659</v>
      </c>
      <c r="B81" s="116" t="s">
        <v>229</v>
      </c>
      <c r="C81" s="116" t="s">
        <v>74</v>
      </c>
      <c r="D81" s="116" t="s">
        <v>14</v>
      </c>
      <c r="E81" s="116" t="s">
        <v>98</v>
      </c>
      <c r="F81" s="121">
        <v>35</v>
      </c>
      <c r="G81" s="118">
        <v>1</v>
      </c>
      <c r="H81" s="119">
        <f t="shared" si="2"/>
        <v>35</v>
      </c>
      <c r="I81" s="120">
        <v>2.898</v>
      </c>
      <c r="J81" s="120">
        <f t="shared" si="3"/>
        <v>2.898</v>
      </c>
      <c r="K81" s="44" t="s">
        <v>507</v>
      </c>
      <c r="L81" s="21"/>
      <c r="T81" s="4"/>
    </row>
    <row r="82" spans="1:20" ht="16.5" customHeight="1">
      <c r="A82" s="115">
        <v>660</v>
      </c>
      <c r="B82" s="116" t="s">
        <v>230</v>
      </c>
      <c r="C82" s="116" t="s">
        <v>74</v>
      </c>
      <c r="D82" s="116" t="s">
        <v>14</v>
      </c>
      <c r="E82" s="116" t="s">
        <v>98</v>
      </c>
      <c r="F82" s="121">
        <v>80</v>
      </c>
      <c r="G82" s="118">
        <v>1</v>
      </c>
      <c r="H82" s="119">
        <f t="shared" si="2"/>
        <v>80</v>
      </c>
      <c r="I82" s="120">
        <v>5.5440000000000005</v>
      </c>
      <c r="J82" s="120">
        <f t="shared" si="3"/>
        <v>5.5440000000000005</v>
      </c>
      <c r="K82" s="44" t="s">
        <v>507</v>
      </c>
      <c r="L82" s="21"/>
      <c r="T82" s="4"/>
    </row>
    <row r="83" spans="1:20" ht="16.5" customHeight="1">
      <c r="A83" s="115">
        <v>666</v>
      </c>
      <c r="B83" s="116" t="s">
        <v>231</v>
      </c>
      <c r="C83" s="116" t="s">
        <v>12</v>
      </c>
      <c r="D83" s="116" t="s">
        <v>47</v>
      </c>
      <c r="E83" s="116" t="s">
        <v>14</v>
      </c>
      <c r="F83" s="121">
        <v>92</v>
      </c>
      <c r="G83" s="118">
        <f>1</f>
        <v>1</v>
      </c>
      <c r="H83" s="119">
        <f t="shared" si="2"/>
        <v>92</v>
      </c>
      <c r="I83" s="120">
        <v>6.048</v>
      </c>
      <c r="J83" s="120">
        <f t="shared" si="3"/>
        <v>6.048</v>
      </c>
      <c r="K83" s="44" t="s">
        <v>507</v>
      </c>
      <c r="L83" s="21"/>
      <c r="T83" s="4"/>
    </row>
    <row r="84" spans="1:20" ht="16.5" customHeight="1">
      <c r="A84" s="115">
        <v>712</v>
      </c>
      <c r="B84" s="116" t="s">
        <v>250</v>
      </c>
      <c r="C84" s="116" t="s">
        <v>233</v>
      </c>
      <c r="D84" s="116" t="s">
        <v>238</v>
      </c>
      <c r="E84" s="116" t="s">
        <v>239</v>
      </c>
      <c r="F84" s="121">
        <v>0.028</v>
      </c>
      <c r="G84" s="118">
        <v>38</v>
      </c>
      <c r="H84" s="119">
        <f t="shared" si="2"/>
        <v>1.064</v>
      </c>
      <c r="I84" s="206">
        <v>0.0036</v>
      </c>
      <c r="J84" s="120">
        <f t="shared" si="3"/>
        <v>0.1368</v>
      </c>
      <c r="K84" s="44" t="s">
        <v>507</v>
      </c>
      <c r="T84" s="4"/>
    </row>
    <row r="85" spans="1:20" ht="16.5" customHeight="1">
      <c r="A85" s="115">
        <v>713</v>
      </c>
      <c r="B85" s="116" t="s">
        <v>251</v>
      </c>
      <c r="C85" s="116" t="s">
        <v>233</v>
      </c>
      <c r="D85" s="116" t="s">
        <v>238</v>
      </c>
      <c r="E85" s="116" t="s">
        <v>239</v>
      </c>
      <c r="F85" s="121">
        <v>0.028</v>
      </c>
      <c r="G85" s="118">
        <v>132</v>
      </c>
      <c r="H85" s="119">
        <f t="shared" si="2"/>
        <v>3.696</v>
      </c>
      <c r="I85" s="206">
        <v>0.0036</v>
      </c>
      <c r="J85" s="120">
        <f t="shared" si="3"/>
        <v>0.4752</v>
      </c>
      <c r="K85" s="44" t="s">
        <v>507</v>
      </c>
      <c r="T85" s="4"/>
    </row>
    <row r="86" spans="1:20" ht="16.5" customHeight="1">
      <c r="A86" s="115">
        <v>714</v>
      </c>
      <c r="B86" s="116" t="s">
        <v>252</v>
      </c>
      <c r="C86" s="116" t="s">
        <v>233</v>
      </c>
      <c r="D86" s="116" t="s">
        <v>238</v>
      </c>
      <c r="E86" s="116" t="s">
        <v>239</v>
      </c>
      <c r="F86" s="121">
        <v>0.03</v>
      </c>
      <c r="G86" s="118">
        <v>85</v>
      </c>
      <c r="H86" s="119">
        <f t="shared" si="2"/>
        <v>2.55</v>
      </c>
      <c r="I86" s="206">
        <v>0.0036</v>
      </c>
      <c r="J86" s="120">
        <f t="shared" si="3"/>
        <v>0.306</v>
      </c>
      <c r="K86" s="44" t="s">
        <v>507</v>
      </c>
      <c r="T86" s="4"/>
    </row>
    <row r="87" spans="1:20" ht="16.5" customHeight="1">
      <c r="A87" s="115">
        <v>719</v>
      </c>
      <c r="B87" s="116" t="s">
        <v>254</v>
      </c>
      <c r="C87" s="116" t="s">
        <v>233</v>
      </c>
      <c r="D87" s="116" t="s">
        <v>238</v>
      </c>
      <c r="E87" s="116" t="s">
        <v>239</v>
      </c>
      <c r="F87" s="121">
        <v>0.01</v>
      </c>
      <c r="G87" s="118">
        <v>50</v>
      </c>
      <c r="H87" s="119">
        <f t="shared" si="2"/>
        <v>0.5</v>
      </c>
      <c r="I87" s="206">
        <v>0.0036</v>
      </c>
      <c r="J87" s="120">
        <f t="shared" si="3"/>
        <v>0.18</v>
      </c>
      <c r="K87" s="44" t="s">
        <v>507</v>
      </c>
      <c r="T87" s="4"/>
    </row>
    <row r="88" spans="1:20" ht="16.5" customHeight="1">
      <c r="A88" s="115">
        <v>720</v>
      </c>
      <c r="B88" s="116" t="s">
        <v>255</v>
      </c>
      <c r="C88" s="116" t="s">
        <v>233</v>
      </c>
      <c r="D88" s="116" t="s">
        <v>238</v>
      </c>
      <c r="E88" s="116" t="s">
        <v>239</v>
      </c>
      <c r="F88" s="121">
        <v>0.028</v>
      </c>
      <c r="G88" s="118">
        <v>6</v>
      </c>
      <c r="H88" s="119">
        <f t="shared" si="2"/>
        <v>0.168</v>
      </c>
      <c r="I88" s="206">
        <v>0.0036</v>
      </c>
      <c r="J88" s="120">
        <f t="shared" si="3"/>
        <v>0.0216</v>
      </c>
      <c r="K88" s="44" t="s">
        <v>507</v>
      </c>
      <c r="T88" s="4"/>
    </row>
    <row r="89" spans="1:20" ht="16.5" customHeight="1">
      <c r="A89" s="115">
        <v>721</v>
      </c>
      <c r="B89" s="116" t="s">
        <v>256</v>
      </c>
      <c r="C89" s="116" t="s">
        <v>233</v>
      </c>
      <c r="D89" s="116" t="s">
        <v>238</v>
      </c>
      <c r="E89" s="116" t="s">
        <v>239</v>
      </c>
      <c r="F89" s="121">
        <v>0.01</v>
      </c>
      <c r="G89" s="118">
        <v>42</v>
      </c>
      <c r="H89" s="119">
        <f t="shared" si="2"/>
        <v>0.42</v>
      </c>
      <c r="I89" s="206">
        <v>0.0036</v>
      </c>
      <c r="J89" s="120">
        <f t="shared" si="3"/>
        <v>0.1512</v>
      </c>
      <c r="K89" s="44" t="s">
        <v>507</v>
      </c>
      <c r="T89" s="4"/>
    </row>
    <row r="90" spans="1:20" ht="16.5" customHeight="1">
      <c r="A90" s="115">
        <v>722</v>
      </c>
      <c r="B90" s="116" t="s">
        <v>257</v>
      </c>
      <c r="C90" s="116" t="s">
        <v>233</v>
      </c>
      <c r="D90" s="116" t="s">
        <v>238</v>
      </c>
      <c r="E90" s="116" t="s">
        <v>239</v>
      </c>
      <c r="F90" s="121">
        <v>0.01</v>
      </c>
      <c r="G90" s="118">
        <v>42</v>
      </c>
      <c r="H90" s="119">
        <f t="shared" si="2"/>
        <v>0.42</v>
      </c>
      <c r="I90" s="206">
        <v>0.0036</v>
      </c>
      <c r="J90" s="120">
        <f t="shared" si="3"/>
        <v>0.1512</v>
      </c>
      <c r="K90" s="44" t="s">
        <v>507</v>
      </c>
      <c r="T90" s="4"/>
    </row>
    <row r="91" spans="1:20" ht="16.5" customHeight="1">
      <c r="A91" s="115">
        <v>723</v>
      </c>
      <c r="B91" s="116" t="s">
        <v>258</v>
      </c>
      <c r="C91" s="116" t="s">
        <v>233</v>
      </c>
      <c r="D91" s="116" t="s">
        <v>238</v>
      </c>
      <c r="E91" s="116" t="s">
        <v>239</v>
      </c>
      <c r="F91" s="121">
        <v>0.01</v>
      </c>
      <c r="G91" s="118">
        <v>128</v>
      </c>
      <c r="H91" s="119">
        <f t="shared" si="2"/>
        <v>1.28</v>
      </c>
      <c r="I91" s="206">
        <v>0.0036</v>
      </c>
      <c r="J91" s="120">
        <f t="shared" si="3"/>
        <v>0.4608</v>
      </c>
      <c r="K91" s="44" t="s">
        <v>507</v>
      </c>
      <c r="T91" s="4"/>
    </row>
    <row r="92" spans="1:20" ht="16.5" customHeight="1">
      <c r="A92" s="115">
        <v>728</v>
      </c>
      <c r="B92" s="116" t="s">
        <v>259</v>
      </c>
      <c r="C92" s="116" t="s">
        <v>233</v>
      </c>
      <c r="D92" s="116" t="s">
        <v>238</v>
      </c>
      <c r="E92" s="116" t="s">
        <v>239</v>
      </c>
      <c r="F92" s="121">
        <v>0.01</v>
      </c>
      <c r="G92" s="118">
        <v>32</v>
      </c>
      <c r="H92" s="119">
        <f t="shared" si="2"/>
        <v>0.32</v>
      </c>
      <c r="I92" s="206">
        <v>0.0036</v>
      </c>
      <c r="J92" s="120">
        <f t="shared" si="3"/>
        <v>0.1152</v>
      </c>
      <c r="K92" s="44" t="s">
        <v>507</v>
      </c>
      <c r="T92" s="4"/>
    </row>
    <row r="93" spans="1:20" ht="16.5" customHeight="1">
      <c r="A93" s="115">
        <v>729</v>
      </c>
      <c r="B93" s="116" t="s">
        <v>260</v>
      </c>
      <c r="C93" s="116" t="s">
        <v>233</v>
      </c>
      <c r="D93" s="116" t="s">
        <v>238</v>
      </c>
      <c r="E93" s="116" t="s">
        <v>239</v>
      </c>
      <c r="F93" s="121">
        <v>0.01</v>
      </c>
      <c r="G93" s="118">
        <v>16</v>
      </c>
      <c r="H93" s="119">
        <f t="shared" si="2"/>
        <v>0.16</v>
      </c>
      <c r="I93" s="206">
        <v>0.0036</v>
      </c>
      <c r="J93" s="120">
        <f t="shared" si="3"/>
        <v>0.0576</v>
      </c>
      <c r="K93" s="44" t="s">
        <v>507</v>
      </c>
      <c r="T93" s="4"/>
    </row>
    <row r="94" spans="1:20" ht="16.5" customHeight="1">
      <c r="A94" s="115">
        <v>734</v>
      </c>
      <c r="B94" s="116" t="s">
        <v>262</v>
      </c>
      <c r="C94" s="116" t="s">
        <v>233</v>
      </c>
      <c r="D94" s="116" t="s">
        <v>238</v>
      </c>
      <c r="E94" s="116" t="s">
        <v>239</v>
      </c>
      <c r="F94" s="121">
        <v>0.01</v>
      </c>
      <c r="G94" s="118">
        <f>53</f>
        <v>53</v>
      </c>
      <c r="H94" s="119">
        <f t="shared" si="2"/>
        <v>0.53</v>
      </c>
      <c r="I94" s="206">
        <v>0.0036</v>
      </c>
      <c r="J94" s="120">
        <f t="shared" si="3"/>
        <v>0.1908</v>
      </c>
      <c r="K94" s="44" t="s">
        <v>507</v>
      </c>
      <c r="T94" s="4"/>
    </row>
    <row r="95" spans="1:20" ht="16.5" customHeight="1">
      <c r="A95" s="115">
        <v>735</v>
      </c>
      <c r="B95" s="116" t="s">
        <v>263</v>
      </c>
      <c r="C95" s="116" t="s">
        <v>233</v>
      </c>
      <c r="D95" s="116" t="s">
        <v>238</v>
      </c>
      <c r="E95" s="116" t="s">
        <v>239</v>
      </c>
      <c r="F95" s="121">
        <v>0.01</v>
      </c>
      <c r="G95" s="118">
        <f>509+47</f>
        <v>556</v>
      </c>
      <c r="H95" s="119">
        <f t="shared" si="2"/>
        <v>5.5600000000000005</v>
      </c>
      <c r="I95" s="206">
        <v>0.0036</v>
      </c>
      <c r="J95" s="120">
        <f t="shared" si="3"/>
        <v>2.0016</v>
      </c>
      <c r="K95" s="44" t="s">
        <v>507</v>
      </c>
      <c r="T95" s="4"/>
    </row>
    <row r="96" spans="1:20" ht="16.5" customHeight="1">
      <c r="A96" s="115">
        <v>736</v>
      </c>
      <c r="B96" s="116" t="s">
        <v>264</v>
      </c>
      <c r="C96" s="116" t="s">
        <v>233</v>
      </c>
      <c r="D96" s="116" t="s">
        <v>238</v>
      </c>
      <c r="E96" s="116" t="s">
        <v>239</v>
      </c>
      <c r="F96" s="121">
        <v>0.01</v>
      </c>
      <c r="G96" s="118">
        <f>42</f>
        <v>42</v>
      </c>
      <c r="H96" s="119">
        <f t="shared" si="2"/>
        <v>0.42</v>
      </c>
      <c r="I96" s="206">
        <v>0.0036</v>
      </c>
      <c r="J96" s="120">
        <f t="shared" si="3"/>
        <v>0.1512</v>
      </c>
      <c r="K96" s="44" t="s">
        <v>507</v>
      </c>
      <c r="T96" s="4"/>
    </row>
    <row r="97" spans="1:20" ht="16.5" customHeight="1">
      <c r="A97" s="115">
        <v>740</v>
      </c>
      <c r="B97" s="116" t="s">
        <v>266</v>
      </c>
      <c r="C97" s="116" t="s">
        <v>233</v>
      </c>
      <c r="D97" s="116" t="s">
        <v>238</v>
      </c>
      <c r="E97" s="116" t="s">
        <v>239</v>
      </c>
      <c r="F97" s="121">
        <v>0.01</v>
      </c>
      <c r="G97" s="118">
        <v>179</v>
      </c>
      <c r="H97" s="119">
        <f t="shared" si="2"/>
        <v>1.79</v>
      </c>
      <c r="I97" s="206">
        <v>0.0036</v>
      </c>
      <c r="J97" s="120">
        <f t="shared" si="3"/>
        <v>0.6444</v>
      </c>
      <c r="K97" s="44" t="s">
        <v>507</v>
      </c>
      <c r="T97" s="4"/>
    </row>
    <row r="98" spans="1:20" ht="16.5" customHeight="1">
      <c r="A98" s="115">
        <v>746</v>
      </c>
      <c r="B98" s="116" t="s">
        <v>271</v>
      </c>
      <c r="C98" s="116" t="s">
        <v>233</v>
      </c>
      <c r="D98" s="116" t="s">
        <v>238</v>
      </c>
      <c r="E98" s="116" t="s">
        <v>239</v>
      </c>
      <c r="F98" s="121">
        <v>0.01</v>
      </c>
      <c r="G98" s="118">
        <v>24</v>
      </c>
      <c r="H98" s="119">
        <f t="shared" si="2"/>
        <v>0.24</v>
      </c>
      <c r="I98" s="206">
        <v>0.0036</v>
      </c>
      <c r="J98" s="120">
        <f t="shared" si="3"/>
        <v>0.0864</v>
      </c>
      <c r="K98" s="44" t="s">
        <v>507</v>
      </c>
      <c r="T98" s="4"/>
    </row>
    <row r="99" spans="1:20" ht="16.5" customHeight="1">
      <c r="A99" s="115">
        <v>748</v>
      </c>
      <c r="B99" s="116" t="s">
        <v>273</v>
      </c>
      <c r="C99" s="116" t="s">
        <v>233</v>
      </c>
      <c r="D99" s="116" t="s">
        <v>238</v>
      </c>
      <c r="E99" s="116" t="s">
        <v>239</v>
      </c>
      <c r="F99" s="121">
        <v>0.01</v>
      </c>
      <c r="G99" s="118">
        <v>35</v>
      </c>
      <c r="H99" s="119">
        <f t="shared" si="2"/>
        <v>0.35000000000000003</v>
      </c>
      <c r="I99" s="206">
        <v>0.0036</v>
      </c>
      <c r="J99" s="120">
        <f t="shared" si="3"/>
        <v>0.126</v>
      </c>
      <c r="K99" s="44" t="s">
        <v>507</v>
      </c>
      <c r="T99" s="4"/>
    </row>
    <row r="100" spans="1:20" ht="16.5" customHeight="1">
      <c r="A100" s="115">
        <v>749</v>
      </c>
      <c r="B100" s="116" t="s">
        <v>271</v>
      </c>
      <c r="C100" s="116" t="s">
        <v>233</v>
      </c>
      <c r="D100" s="116" t="s">
        <v>238</v>
      </c>
      <c r="E100" s="116" t="s">
        <v>239</v>
      </c>
      <c r="F100" s="121">
        <v>0.01</v>
      </c>
      <c r="G100" s="118">
        <v>57</v>
      </c>
      <c r="H100" s="119">
        <f t="shared" si="2"/>
        <v>0.5700000000000001</v>
      </c>
      <c r="I100" s="206">
        <v>0.0036</v>
      </c>
      <c r="J100" s="120">
        <f t="shared" si="3"/>
        <v>0.2052</v>
      </c>
      <c r="K100" s="44" t="s">
        <v>507</v>
      </c>
      <c r="T100" s="4"/>
    </row>
    <row r="101" spans="1:20" ht="16.5" customHeight="1">
      <c r="A101" s="115">
        <v>752</v>
      </c>
      <c r="B101" s="116" t="s">
        <v>263</v>
      </c>
      <c r="C101" s="116" t="s">
        <v>233</v>
      </c>
      <c r="D101" s="116" t="s">
        <v>238</v>
      </c>
      <c r="E101" s="116" t="s">
        <v>239</v>
      </c>
      <c r="F101" s="121">
        <v>0.03</v>
      </c>
      <c r="G101" s="118">
        <v>20</v>
      </c>
      <c r="H101" s="119">
        <f t="shared" si="2"/>
        <v>0.6</v>
      </c>
      <c r="I101" s="206">
        <v>0.0036</v>
      </c>
      <c r="J101" s="120">
        <f t="shared" si="3"/>
        <v>0.072</v>
      </c>
      <c r="K101" s="44" t="s">
        <v>507</v>
      </c>
      <c r="T101" s="4"/>
    </row>
    <row r="102" spans="1:20" ht="16.5" customHeight="1">
      <c r="A102" s="115">
        <v>753</v>
      </c>
      <c r="B102" s="116" t="s">
        <v>263</v>
      </c>
      <c r="C102" s="116" t="s">
        <v>233</v>
      </c>
      <c r="D102" s="116" t="s">
        <v>238</v>
      </c>
      <c r="E102" s="116" t="s">
        <v>239</v>
      </c>
      <c r="F102" s="121">
        <v>0.01</v>
      </c>
      <c r="G102" s="118">
        <f>579+44</f>
        <v>623</v>
      </c>
      <c r="H102" s="119">
        <f t="shared" si="2"/>
        <v>6.23</v>
      </c>
      <c r="I102" s="206">
        <v>0.0036</v>
      </c>
      <c r="J102" s="120">
        <f t="shared" si="3"/>
        <v>2.2428</v>
      </c>
      <c r="K102" s="44" t="s">
        <v>507</v>
      </c>
      <c r="T102" s="4"/>
    </row>
    <row r="103" spans="1:20" ht="16.5" customHeight="1">
      <c r="A103" s="115">
        <v>756</v>
      </c>
      <c r="B103" s="116" t="s">
        <v>274</v>
      </c>
      <c r="C103" s="116" t="s">
        <v>233</v>
      </c>
      <c r="D103" s="116" t="s">
        <v>238</v>
      </c>
      <c r="E103" s="116" t="s">
        <v>239</v>
      </c>
      <c r="F103" s="121">
        <v>0.01</v>
      </c>
      <c r="G103" s="118">
        <v>49</v>
      </c>
      <c r="H103" s="119">
        <f t="shared" si="2"/>
        <v>0.49</v>
      </c>
      <c r="I103" s="206">
        <v>0.0036</v>
      </c>
      <c r="J103" s="120">
        <f t="shared" si="3"/>
        <v>0.1764</v>
      </c>
      <c r="K103" s="44" t="s">
        <v>507</v>
      </c>
      <c r="T103" s="4"/>
    </row>
    <row r="104" spans="1:20" ht="16.5" customHeight="1">
      <c r="A104" s="115">
        <v>757</v>
      </c>
      <c r="B104" s="116" t="s">
        <v>275</v>
      </c>
      <c r="C104" s="116" t="s">
        <v>233</v>
      </c>
      <c r="D104" s="116" t="s">
        <v>238</v>
      </c>
      <c r="E104" s="116" t="s">
        <v>239</v>
      </c>
      <c r="F104" s="121">
        <v>0.03</v>
      </c>
      <c r="G104" s="118">
        <v>42</v>
      </c>
      <c r="H104" s="119">
        <f t="shared" si="2"/>
        <v>1.26</v>
      </c>
      <c r="I104" s="206">
        <v>0.0036</v>
      </c>
      <c r="J104" s="120">
        <f t="shared" si="3"/>
        <v>0.1512</v>
      </c>
      <c r="K104" s="44" t="s">
        <v>507</v>
      </c>
      <c r="T104" s="4"/>
    </row>
    <row r="105" spans="1:20" ht="16.5" customHeight="1">
      <c r="A105" s="115">
        <v>759</v>
      </c>
      <c r="B105" s="116" t="s">
        <v>276</v>
      </c>
      <c r="C105" s="116" t="s">
        <v>233</v>
      </c>
      <c r="D105" s="116" t="s">
        <v>238</v>
      </c>
      <c r="E105" s="116" t="s">
        <v>239</v>
      </c>
      <c r="F105" s="121">
        <v>0.01</v>
      </c>
      <c r="G105" s="118">
        <f>18</f>
        <v>18</v>
      </c>
      <c r="H105" s="119">
        <f t="shared" si="2"/>
        <v>0.18</v>
      </c>
      <c r="I105" s="206">
        <v>0.0036</v>
      </c>
      <c r="J105" s="120">
        <f t="shared" si="3"/>
        <v>0.0648</v>
      </c>
      <c r="K105" s="44" t="s">
        <v>507</v>
      </c>
      <c r="T105" s="4"/>
    </row>
    <row r="106" spans="1:20" ht="16.5" customHeight="1">
      <c r="A106" s="115">
        <v>760</v>
      </c>
      <c r="B106" s="116" t="s">
        <v>277</v>
      </c>
      <c r="C106" s="116" t="s">
        <v>233</v>
      </c>
      <c r="D106" s="116" t="s">
        <v>238</v>
      </c>
      <c r="E106" s="116" t="s">
        <v>239</v>
      </c>
      <c r="F106" s="121">
        <v>0.01</v>
      </c>
      <c r="G106" s="118">
        <v>20</v>
      </c>
      <c r="H106" s="119">
        <f t="shared" si="2"/>
        <v>0.2</v>
      </c>
      <c r="I106" s="206">
        <v>0.0036</v>
      </c>
      <c r="J106" s="120">
        <f t="shared" si="3"/>
        <v>0.072</v>
      </c>
      <c r="K106" s="44" t="s">
        <v>507</v>
      </c>
      <c r="T106" s="4"/>
    </row>
    <row r="107" spans="1:20" ht="16.5" customHeight="1">
      <c r="A107" s="115">
        <v>776</v>
      </c>
      <c r="B107" s="116" t="s">
        <v>278</v>
      </c>
      <c r="C107" s="116" t="s">
        <v>279</v>
      </c>
      <c r="D107" s="116" t="s">
        <v>280</v>
      </c>
      <c r="E107" s="116" t="s">
        <v>281</v>
      </c>
      <c r="F107" s="121">
        <v>4.2</v>
      </c>
      <c r="G107" s="118">
        <f>10</f>
        <v>10</v>
      </c>
      <c r="H107" s="119">
        <f t="shared" si="2"/>
        <v>42</v>
      </c>
      <c r="I107" s="120">
        <v>0.5292000000000001</v>
      </c>
      <c r="J107" s="120">
        <f t="shared" si="3"/>
        <v>5.292000000000002</v>
      </c>
      <c r="K107" s="44" t="s">
        <v>507</v>
      </c>
      <c r="T107" s="4"/>
    </row>
    <row r="108" spans="1:20" ht="16.5" customHeight="1">
      <c r="A108" s="115">
        <v>777</v>
      </c>
      <c r="B108" s="116" t="s">
        <v>278</v>
      </c>
      <c r="C108" s="116" t="s">
        <v>279</v>
      </c>
      <c r="D108" s="116" t="s">
        <v>280</v>
      </c>
      <c r="E108" s="116" t="s">
        <v>282</v>
      </c>
      <c r="F108" s="121">
        <v>4.2</v>
      </c>
      <c r="G108" s="118">
        <f>10</f>
        <v>10</v>
      </c>
      <c r="H108" s="119">
        <f t="shared" si="2"/>
        <v>42</v>
      </c>
      <c r="I108" s="120">
        <v>0.5292000000000001</v>
      </c>
      <c r="J108" s="120">
        <f t="shared" si="3"/>
        <v>5.292000000000002</v>
      </c>
      <c r="K108" s="44" t="s">
        <v>507</v>
      </c>
      <c r="T108" s="4"/>
    </row>
    <row r="109" spans="1:20" ht="16.5" customHeight="1">
      <c r="A109" s="115">
        <v>778</v>
      </c>
      <c r="B109" s="116" t="s">
        <v>283</v>
      </c>
      <c r="C109" s="116" t="s">
        <v>279</v>
      </c>
      <c r="D109" s="116" t="s">
        <v>280</v>
      </c>
      <c r="E109" s="116" t="s">
        <v>281</v>
      </c>
      <c r="F109" s="121">
        <v>4.8</v>
      </c>
      <c r="G109" s="118">
        <f>8</f>
        <v>8</v>
      </c>
      <c r="H109" s="119">
        <f t="shared" si="2"/>
        <v>38.4</v>
      </c>
      <c r="I109" s="120">
        <v>0.6047999999999999</v>
      </c>
      <c r="J109" s="120">
        <f t="shared" si="3"/>
        <v>4.838399999999999</v>
      </c>
      <c r="K109" s="44" t="s">
        <v>507</v>
      </c>
      <c r="T109" s="4"/>
    </row>
    <row r="110" spans="1:20" ht="16.5" customHeight="1">
      <c r="A110" s="115">
        <v>780</v>
      </c>
      <c r="B110" s="116" t="s">
        <v>284</v>
      </c>
      <c r="C110" s="116" t="s">
        <v>279</v>
      </c>
      <c r="D110" s="116" t="s">
        <v>285</v>
      </c>
      <c r="E110" s="116" t="s">
        <v>281</v>
      </c>
      <c r="F110" s="121">
        <v>4.2</v>
      </c>
      <c r="G110" s="118">
        <v>10</v>
      </c>
      <c r="H110" s="119">
        <f t="shared" si="2"/>
        <v>42</v>
      </c>
      <c r="I110" s="120">
        <v>0.5292000000000001</v>
      </c>
      <c r="J110" s="120">
        <f t="shared" si="3"/>
        <v>5.292000000000002</v>
      </c>
      <c r="K110" s="44" t="s">
        <v>507</v>
      </c>
      <c r="T110" s="4"/>
    </row>
    <row r="111" spans="1:20" ht="16.5" customHeight="1">
      <c r="A111" s="115">
        <v>781</v>
      </c>
      <c r="B111" s="116" t="s">
        <v>284</v>
      </c>
      <c r="C111" s="116" t="s">
        <v>279</v>
      </c>
      <c r="D111" s="116" t="s">
        <v>285</v>
      </c>
      <c r="E111" s="116" t="s">
        <v>282</v>
      </c>
      <c r="F111" s="121">
        <v>4.2</v>
      </c>
      <c r="G111" s="118">
        <f>30</f>
        <v>30</v>
      </c>
      <c r="H111" s="119">
        <f t="shared" si="2"/>
        <v>126</v>
      </c>
      <c r="I111" s="120">
        <v>0.5292000000000001</v>
      </c>
      <c r="J111" s="120">
        <f t="shared" si="3"/>
        <v>15.876000000000003</v>
      </c>
      <c r="K111" s="44" t="s">
        <v>507</v>
      </c>
      <c r="T111" s="4"/>
    </row>
    <row r="112" spans="1:20" ht="16.5" customHeight="1">
      <c r="A112" s="115">
        <v>809</v>
      </c>
      <c r="B112" s="116" t="s">
        <v>284</v>
      </c>
      <c r="C112" s="116" t="s">
        <v>279</v>
      </c>
      <c r="D112" s="116" t="s">
        <v>285</v>
      </c>
      <c r="E112" s="116" t="s">
        <v>286</v>
      </c>
      <c r="F112" s="117">
        <v>4.2</v>
      </c>
      <c r="G112" s="118">
        <f>14</f>
        <v>14</v>
      </c>
      <c r="H112" s="119">
        <f t="shared" si="2"/>
        <v>58.800000000000004</v>
      </c>
      <c r="I112" s="120">
        <v>0.5292000000000001</v>
      </c>
      <c r="J112" s="120">
        <f t="shared" si="3"/>
        <v>7.408800000000001</v>
      </c>
      <c r="K112" s="44" t="s">
        <v>507</v>
      </c>
      <c r="T112" s="4"/>
    </row>
    <row r="113" spans="1:20" ht="16.5" customHeight="1">
      <c r="A113" s="115">
        <v>810</v>
      </c>
      <c r="B113" s="116" t="s">
        <v>283</v>
      </c>
      <c r="C113" s="116" t="s">
        <v>279</v>
      </c>
      <c r="D113" s="116" t="s">
        <v>280</v>
      </c>
      <c r="E113" s="116" t="s">
        <v>286</v>
      </c>
      <c r="F113" s="121">
        <v>4.8</v>
      </c>
      <c r="G113" s="118">
        <f>10</f>
        <v>10</v>
      </c>
      <c r="H113" s="119">
        <f t="shared" si="2"/>
        <v>48</v>
      </c>
      <c r="I113" s="120">
        <v>0.6047999999999999</v>
      </c>
      <c r="J113" s="120">
        <f t="shared" si="3"/>
        <v>6.047999999999999</v>
      </c>
      <c r="K113" s="44" t="s">
        <v>507</v>
      </c>
      <c r="T113" s="4"/>
    </row>
    <row r="114" spans="1:20" ht="16.5" customHeight="1">
      <c r="A114" s="115">
        <v>811</v>
      </c>
      <c r="B114" s="116" t="s">
        <v>287</v>
      </c>
      <c r="C114" s="116" t="s">
        <v>279</v>
      </c>
      <c r="D114" s="116" t="s">
        <v>280</v>
      </c>
      <c r="E114" s="116" t="s">
        <v>286</v>
      </c>
      <c r="F114" s="121">
        <v>6</v>
      </c>
      <c r="G114" s="118">
        <f>60+40</f>
        <v>100</v>
      </c>
      <c r="H114" s="119">
        <f t="shared" si="2"/>
        <v>600</v>
      </c>
      <c r="I114" s="120">
        <v>0.756</v>
      </c>
      <c r="J114" s="120">
        <f t="shared" si="3"/>
        <v>75.6</v>
      </c>
      <c r="K114" s="44" t="s">
        <v>507</v>
      </c>
      <c r="T114" s="4"/>
    </row>
    <row r="115" spans="1:20" ht="16.5" customHeight="1">
      <c r="A115" s="115">
        <v>848</v>
      </c>
      <c r="B115" s="116" t="s">
        <v>288</v>
      </c>
      <c r="C115" s="116" t="s">
        <v>279</v>
      </c>
      <c r="D115" s="116" t="s">
        <v>289</v>
      </c>
      <c r="E115" s="116" t="s">
        <v>281</v>
      </c>
      <c r="F115" s="121">
        <v>8.04</v>
      </c>
      <c r="G115" s="118">
        <f>4</f>
        <v>4</v>
      </c>
      <c r="H115" s="119">
        <f t="shared" si="2"/>
        <v>32.16</v>
      </c>
      <c r="I115" s="120">
        <v>1.01304</v>
      </c>
      <c r="J115" s="120">
        <f t="shared" si="3"/>
        <v>4.05216</v>
      </c>
      <c r="K115" s="44" t="s">
        <v>507</v>
      </c>
      <c r="T115" s="4"/>
    </row>
    <row r="116" spans="1:20" ht="16.5" customHeight="1">
      <c r="A116" s="115">
        <v>850</v>
      </c>
      <c r="B116" s="116" t="s">
        <v>288</v>
      </c>
      <c r="C116" s="116" t="s">
        <v>279</v>
      </c>
      <c r="D116" s="116" t="s">
        <v>289</v>
      </c>
      <c r="E116" s="116" t="s">
        <v>286</v>
      </c>
      <c r="F116" s="121">
        <v>8.04</v>
      </c>
      <c r="G116" s="118">
        <v>3</v>
      </c>
      <c r="H116" s="119">
        <f t="shared" si="2"/>
        <v>24.119999999999997</v>
      </c>
      <c r="I116" s="120">
        <v>1.01304</v>
      </c>
      <c r="J116" s="120">
        <f t="shared" si="3"/>
        <v>3.0391199999999996</v>
      </c>
      <c r="K116" s="44" t="s">
        <v>507</v>
      </c>
      <c r="T116" s="4"/>
    </row>
    <row r="117" spans="1:20" ht="16.5" customHeight="1">
      <c r="A117" s="115">
        <v>981</v>
      </c>
      <c r="B117" s="116" t="s">
        <v>290</v>
      </c>
      <c r="C117" s="116" t="s">
        <v>233</v>
      </c>
      <c r="D117" s="116" t="s">
        <v>291</v>
      </c>
      <c r="E117" s="116" t="s">
        <v>292</v>
      </c>
      <c r="F117" s="121">
        <v>2.8</v>
      </c>
      <c r="G117" s="118">
        <v>70</v>
      </c>
      <c r="H117" s="119">
        <f t="shared" si="2"/>
        <v>196</v>
      </c>
      <c r="I117" s="120">
        <v>0.3528</v>
      </c>
      <c r="J117" s="120">
        <f t="shared" si="3"/>
        <v>24.696</v>
      </c>
      <c r="K117" s="44" t="s">
        <v>507</v>
      </c>
      <c r="T117" s="4"/>
    </row>
    <row r="118" spans="1:20" ht="16.5" customHeight="1">
      <c r="A118" s="115">
        <v>984</v>
      </c>
      <c r="B118" s="116" t="s">
        <v>293</v>
      </c>
      <c r="C118" s="116" t="s">
        <v>233</v>
      </c>
      <c r="D118" s="116" t="s">
        <v>234</v>
      </c>
      <c r="E118" s="116" t="s">
        <v>294</v>
      </c>
      <c r="F118" s="121">
        <v>2.5</v>
      </c>
      <c r="G118" s="118">
        <f>12</f>
        <v>12</v>
      </c>
      <c r="H118" s="119">
        <f t="shared" si="2"/>
        <v>30</v>
      </c>
      <c r="I118" s="120">
        <v>0.315</v>
      </c>
      <c r="J118" s="120">
        <f t="shared" si="3"/>
        <v>3.7800000000000002</v>
      </c>
      <c r="K118" s="44" t="s">
        <v>507</v>
      </c>
      <c r="T118" s="4"/>
    </row>
    <row r="119" spans="1:20" ht="16.5" customHeight="1">
      <c r="A119" s="115">
        <v>985</v>
      </c>
      <c r="B119" s="116" t="s">
        <v>295</v>
      </c>
      <c r="C119" s="116" t="s">
        <v>233</v>
      </c>
      <c r="D119" s="116" t="s">
        <v>234</v>
      </c>
      <c r="E119" s="116" t="s">
        <v>294</v>
      </c>
      <c r="F119" s="121">
        <v>2.5</v>
      </c>
      <c r="G119" s="118">
        <f>17</f>
        <v>17</v>
      </c>
      <c r="H119" s="119">
        <f t="shared" si="2"/>
        <v>42.5</v>
      </c>
      <c r="I119" s="120">
        <v>0.315</v>
      </c>
      <c r="J119" s="120">
        <f t="shared" si="3"/>
        <v>5.355</v>
      </c>
      <c r="K119" s="44" t="s">
        <v>507</v>
      </c>
      <c r="T119" s="4"/>
    </row>
    <row r="120" spans="1:20" ht="16.5" customHeight="1">
      <c r="A120" s="115">
        <v>986</v>
      </c>
      <c r="B120" s="116" t="s">
        <v>296</v>
      </c>
      <c r="C120" s="116" t="s">
        <v>233</v>
      </c>
      <c r="D120" s="116" t="s">
        <v>234</v>
      </c>
      <c r="E120" s="116" t="s">
        <v>294</v>
      </c>
      <c r="F120" s="121">
        <v>2.5</v>
      </c>
      <c r="G120" s="118">
        <v>127</v>
      </c>
      <c r="H120" s="119">
        <f t="shared" si="2"/>
        <v>317.5</v>
      </c>
      <c r="I120" s="120">
        <v>0.315</v>
      </c>
      <c r="J120" s="120">
        <f t="shared" si="3"/>
        <v>40.005</v>
      </c>
      <c r="K120" s="44" t="s">
        <v>507</v>
      </c>
      <c r="T120" s="4"/>
    </row>
    <row r="121" spans="1:20" ht="16.5" customHeight="1">
      <c r="A121" s="115">
        <v>1025</v>
      </c>
      <c r="B121" s="118" t="s">
        <v>297</v>
      </c>
      <c r="C121" s="116" t="s">
        <v>233</v>
      </c>
      <c r="D121" s="116" t="s">
        <v>234</v>
      </c>
      <c r="E121" s="116" t="s">
        <v>235</v>
      </c>
      <c r="F121" s="117">
        <v>0.73</v>
      </c>
      <c r="G121" s="118">
        <f>68+19</f>
        <v>87</v>
      </c>
      <c r="H121" s="119">
        <f t="shared" si="2"/>
        <v>63.51</v>
      </c>
      <c r="I121" s="120">
        <v>0.09198</v>
      </c>
      <c r="J121" s="120">
        <f t="shared" si="3"/>
        <v>8.00226</v>
      </c>
      <c r="K121" s="44" t="s">
        <v>507</v>
      </c>
      <c r="T121" s="4"/>
    </row>
    <row r="122" spans="1:20" ht="16.5" customHeight="1">
      <c r="A122" s="115">
        <v>1027</v>
      </c>
      <c r="B122" s="118" t="s">
        <v>298</v>
      </c>
      <c r="C122" s="116" t="s">
        <v>233</v>
      </c>
      <c r="D122" s="116" t="s">
        <v>234</v>
      </c>
      <c r="E122" s="116" t="s">
        <v>235</v>
      </c>
      <c r="F122" s="117">
        <v>1.06</v>
      </c>
      <c r="G122" s="118">
        <f>18</f>
        <v>18</v>
      </c>
      <c r="H122" s="119">
        <f t="shared" si="2"/>
        <v>19.080000000000002</v>
      </c>
      <c r="I122" s="120">
        <v>0.13356</v>
      </c>
      <c r="J122" s="120">
        <f t="shared" si="3"/>
        <v>2.4040800000000004</v>
      </c>
      <c r="K122" s="44" t="s">
        <v>507</v>
      </c>
      <c r="T122" s="4"/>
    </row>
    <row r="123" spans="1:20" ht="16.5" customHeight="1">
      <c r="A123" s="115">
        <v>1029</v>
      </c>
      <c r="B123" s="118" t="s">
        <v>299</v>
      </c>
      <c r="C123" s="116" t="s">
        <v>233</v>
      </c>
      <c r="D123" s="116" t="s">
        <v>234</v>
      </c>
      <c r="E123" s="116" t="s">
        <v>235</v>
      </c>
      <c r="F123" s="121">
        <v>0.73</v>
      </c>
      <c r="G123" s="118">
        <f>10</f>
        <v>10</v>
      </c>
      <c r="H123" s="119">
        <f t="shared" si="2"/>
        <v>7.3</v>
      </c>
      <c r="I123" s="120">
        <v>0.09198</v>
      </c>
      <c r="J123" s="120">
        <f t="shared" si="3"/>
        <v>0.9198000000000001</v>
      </c>
      <c r="K123" s="44" t="s">
        <v>507</v>
      </c>
      <c r="T123" s="4"/>
    </row>
    <row r="124" spans="1:20" ht="16.5" customHeight="1">
      <c r="A124" s="115">
        <v>1030</v>
      </c>
      <c r="B124" s="116" t="s">
        <v>300</v>
      </c>
      <c r="C124" s="116" t="s">
        <v>233</v>
      </c>
      <c r="D124" s="116" t="s">
        <v>234</v>
      </c>
      <c r="E124" s="116" t="s">
        <v>301</v>
      </c>
      <c r="F124" s="117">
        <v>10.5</v>
      </c>
      <c r="G124" s="118">
        <v>20</v>
      </c>
      <c r="H124" s="119">
        <f t="shared" si="2"/>
        <v>210</v>
      </c>
      <c r="I124" s="120">
        <v>0.945</v>
      </c>
      <c r="J124" s="120">
        <f t="shared" si="3"/>
        <v>18.9</v>
      </c>
      <c r="K124" s="44" t="s">
        <v>507</v>
      </c>
      <c r="T124" s="4"/>
    </row>
    <row r="125" spans="1:20" ht="16.5" customHeight="1">
      <c r="A125" s="115">
        <v>1034</v>
      </c>
      <c r="B125" s="118" t="s">
        <v>302</v>
      </c>
      <c r="C125" s="116" t="s">
        <v>233</v>
      </c>
      <c r="D125" s="116" t="s">
        <v>234</v>
      </c>
      <c r="E125" s="116" t="s">
        <v>301</v>
      </c>
      <c r="F125" s="117">
        <v>10.5</v>
      </c>
      <c r="G125" s="118">
        <v>57</v>
      </c>
      <c r="H125" s="119">
        <f t="shared" si="2"/>
        <v>598.5</v>
      </c>
      <c r="I125" s="120">
        <v>0.945</v>
      </c>
      <c r="J125" s="120">
        <f t="shared" si="3"/>
        <v>53.864999999999995</v>
      </c>
      <c r="K125" s="44" t="s">
        <v>507</v>
      </c>
      <c r="T125" s="4"/>
    </row>
    <row r="126" spans="1:20" ht="16.5" customHeight="1">
      <c r="A126" s="115">
        <v>1035</v>
      </c>
      <c r="B126" s="118" t="s">
        <v>303</v>
      </c>
      <c r="C126" s="116" t="s">
        <v>233</v>
      </c>
      <c r="D126" s="116" t="s">
        <v>234</v>
      </c>
      <c r="E126" s="116" t="s">
        <v>301</v>
      </c>
      <c r="F126" s="117">
        <v>10.5</v>
      </c>
      <c r="G126" s="118">
        <f>19</f>
        <v>19</v>
      </c>
      <c r="H126" s="119">
        <f t="shared" si="2"/>
        <v>199.5</v>
      </c>
      <c r="I126" s="120">
        <v>0.945</v>
      </c>
      <c r="J126" s="120">
        <f t="shared" si="3"/>
        <v>17.955</v>
      </c>
      <c r="K126" s="44" t="s">
        <v>507</v>
      </c>
      <c r="T126" s="4"/>
    </row>
    <row r="127" spans="1:20" ht="16.5" customHeight="1">
      <c r="A127" s="115">
        <v>1247</v>
      </c>
      <c r="B127" s="118" t="s">
        <v>307</v>
      </c>
      <c r="C127" s="116" t="s">
        <v>233</v>
      </c>
      <c r="D127" s="116" t="s">
        <v>291</v>
      </c>
      <c r="E127" s="116" t="s">
        <v>308</v>
      </c>
      <c r="F127" s="117">
        <v>18</v>
      </c>
      <c r="G127" s="118">
        <v>10</v>
      </c>
      <c r="H127" s="119">
        <f t="shared" si="2"/>
        <v>180</v>
      </c>
      <c r="I127" s="120">
        <v>1.6128000000000002</v>
      </c>
      <c r="J127" s="120">
        <f t="shared" si="3"/>
        <v>16.128000000000004</v>
      </c>
      <c r="K127" s="44" t="s">
        <v>507</v>
      </c>
      <c r="T127" s="4"/>
    </row>
    <row r="128" spans="1:20" ht="16.5" customHeight="1">
      <c r="A128" s="115">
        <v>1249</v>
      </c>
      <c r="B128" s="118" t="s">
        <v>309</v>
      </c>
      <c r="C128" s="116" t="s">
        <v>233</v>
      </c>
      <c r="D128" s="116" t="s">
        <v>291</v>
      </c>
      <c r="E128" s="116" t="s">
        <v>308</v>
      </c>
      <c r="F128" s="121">
        <v>18</v>
      </c>
      <c r="G128" s="118">
        <f>2</f>
        <v>2</v>
      </c>
      <c r="H128" s="119">
        <f t="shared" si="2"/>
        <v>36</v>
      </c>
      <c r="I128" s="120">
        <v>1.6128000000000002</v>
      </c>
      <c r="J128" s="120">
        <f t="shared" si="3"/>
        <v>3.2256000000000005</v>
      </c>
      <c r="K128" s="44" t="s">
        <v>507</v>
      </c>
      <c r="T128" s="4"/>
    </row>
    <row r="129" spans="1:20" ht="16.5" customHeight="1">
      <c r="A129" s="115">
        <v>1352</v>
      </c>
      <c r="B129" s="118" t="s">
        <v>314</v>
      </c>
      <c r="C129" s="116" t="s">
        <v>233</v>
      </c>
      <c r="D129" s="116" t="s">
        <v>315</v>
      </c>
      <c r="E129" s="116" t="s">
        <v>316</v>
      </c>
      <c r="F129" s="121">
        <v>6</v>
      </c>
      <c r="G129" s="118">
        <v>34</v>
      </c>
      <c r="H129" s="119">
        <f t="shared" si="2"/>
        <v>204</v>
      </c>
      <c r="I129" s="120">
        <v>0.72</v>
      </c>
      <c r="J129" s="120">
        <f t="shared" si="3"/>
        <v>24.48</v>
      </c>
      <c r="K129" s="44" t="s">
        <v>507</v>
      </c>
      <c r="T129" s="4"/>
    </row>
    <row r="130" spans="1:20" ht="16.5" customHeight="1">
      <c r="A130" s="115">
        <v>1363</v>
      </c>
      <c r="B130" s="118" t="s">
        <v>317</v>
      </c>
      <c r="C130" s="116" t="s">
        <v>233</v>
      </c>
      <c r="D130" s="116" t="s">
        <v>291</v>
      </c>
      <c r="E130" s="116" t="s">
        <v>318</v>
      </c>
      <c r="F130" s="121">
        <v>0.28</v>
      </c>
      <c r="G130" s="118">
        <v>813</v>
      </c>
      <c r="H130" s="119">
        <f t="shared" si="2"/>
        <v>227.64000000000001</v>
      </c>
      <c r="I130" s="120">
        <v>0.025200000000000004</v>
      </c>
      <c r="J130" s="120">
        <f t="shared" si="3"/>
        <v>20.487600000000004</v>
      </c>
      <c r="K130" s="44" t="s">
        <v>507</v>
      </c>
      <c r="T130" s="4"/>
    </row>
    <row r="131" spans="1:20" ht="16.5" customHeight="1">
      <c r="A131" s="115">
        <v>1372</v>
      </c>
      <c r="B131" s="118" t="s">
        <v>319</v>
      </c>
      <c r="C131" s="116" t="s">
        <v>233</v>
      </c>
      <c r="D131" s="116" t="s">
        <v>291</v>
      </c>
      <c r="E131" s="116" t="s">
        <v>318</v>
      </c>
      <c r="F131" s="121">
        <v>0.28</v>
      </c>
      <c r="G131" s="118">
        <v>700</v>
      </c>
      <c r="H131" s="119">
        <f t="shared" si="2"/>
        <v>196.00000000000003</v>
      </c>
      <c r="I131" s="120">
        <v>0.025200000000000004</v>
      </c>
      <c r="J131" s="120">
        <f t="shared" si="3"/>
        <v>17.640000000000004</v>
      </c>
      <c r="K131" s="44" t="s">
        <v>507</v>
      </c>
      <c r="T131" s="4"/>
    </row>
    <row r="132" spans="1:20" ht="16.5" customHeight="1">
      <c r="A132" s="115">
        <v>1381</v>
      </c>
      <c r="B132" s="118" t="s">
        <v>320</v>
      </c>
      <c r="C132" s="116" t="s">
        <v>233</v>
      </c>
      <c r="D132" s="116" t="s">
        <v>291</v>
      </c>
      <c r="E132" s="116" t="s">
        <v>318</v>
      </c>
      <c r="F132" s="121">
        <v>0.28</v>
      </c>
      <c r="G132" s="118">
        <v>265</v>
      </c>
      <c r="H132" s="119">
        <f t="shared" si="2"/>
        <v>74.2</v>
      </c>
      <c r="I132" s="120">
        <v>0.025200000000000004</v>
      </c>
      <c r="J132" s="120">
        <f t="shared" si="3"/>
        <v>6.678000000000001</v>
      </c>
      <c r="K132" s="44" t="s">
        <v>507</v>
      </c>
      <c r="T132" s="4"/>
    </row>
    <row r="133" spans="1:20" ht="16.5" customHeight="1">
      <c r="A133" s="115">
        <v>1406</v>
      </c>
      <c r="B133" s="118" t="s">
        <v>322</v>
      </c>
      <c r="C133" s="116" t="s">
        <v>233</v>
      </c>
      <c r="D133" s="116" t="s">
        <v>238</v>
      </c>
      <c r="E133" s="116" t="s">
        <v>323</v>
      </c>
      <c r="F133" s="121">
        <v>1.85</v>
      </c>
      <c r="G133" s="118">
        <f>6*130</f>
        <v>780</v>
      </c>
      <c r="H133" s="119">
        <f t="shared" si="2"/>
        <v>1443</v>
      </c>
      <c r="I133" s="120">
        <v>0.27</v>
      </c>
      <c r="J133" s="120">
        <f t="shared" si="3"/>
        <v>210.60000000000002</v>
      </c>
      <c r="K133" s="44" t="s">
        <v>507</v>
      </c>
      <c r="T133" s="4"/>
    </row>
    <row r="134" spans="1:20" ht="16.5" customHeight="1">
      <c r="A134" s="115">
        <v>1409</v>
      </c>
      <c r="B134" s="118" t="s">
        <v>324</v>
      </c>
      <c r="C134" s="116" t="s">
        <v>233</v>
      </c>
      <c r="D134" s="116" t="s">
        <v>234</v>
      </c>
      <c r="E134" s="116" t="s">
        <v>325</v>
      </c>
      <c r="F134" s="121">
        <v>2.4</v>
      </c>
      <c r="G134" s="118">
        <v>430</v>
      </c>
      <c r="H134" s="119">
        <f t="shared" si="2"/>
        <v>1032</v>
      </c>
      <c r="I134" s="120">
        <v>0.27</v>
      </c>
      <c r="J134" s="120">
        <f t="shared" si="3"/>
        <v>116.10000000000001</v>
      </c>
      <c r="K134" s="44" t="s">
        <v>507</v>
      </c>
      <c r="T134" s="4"/>
    </row>
    <row r="135" spans="1:20" ht="16.5" customHeight="1">
      <c r="A135" s="115">
        <v>1430</v>
      </c>
      <c r="B135" s="118" t="s">
        <v>328</v>
      </c>
      <c r="C135" s="116" t="s">
        <v>233</v>
      </c>
      <c r="D135" s="116" t="s">
        <v>238</v>
      </c>
      <c r="E135" s="116" t="s">
        <v>239</v>
      </c>
      <c r="F135" s="121">
        <v>0.016</v>
      </c>
      <c r="G135" s="118">
        <f>1297</f>
        <v>1297</v>
      </c>
      <c r="H135" s="119">
        <f aca="true" t="shared" si="4" ref="H135:H196">G135*F135</f>
        <v>20.752</v>
      </c>
      <c r="I135" s="120">
        <v>0.0036</v>
      </c>
      <c r="J135" s="120">
        <f aca="true" t="shared" si="5" ref="J135:J196">G135*I135</f>
        <v>4.6692</v>
      </c>
      <c r="K135" s="44" t="s">
        <v>507</v>
      </c>
      <c r="T135" s="4"/>
    </row>
    <row r="136" spans="1:20" ht="16.5" customHeight="1">
      <c r="A136" s="115">
        <v>1473</v>
      </c>
      <c r="B136" s="116" t="s">
        <v>332</v>
      </c>
      <c r="C136" s="116" t="s">
        <v>233</v>
      </c>
      <c r="D136" s="116" t="s">
        <v>238</v>
      </c>
      <c r="E136" s="116" t="s">
        <v>239</v>
      </c>
      <c r="F136" s="117">
        <v>0.016</v>
      </c>
      <c r="G136" s="118">
        <v>23</v>
      </c>
      <c r="H136" s="119">
        <f t="shared" si="4"/>
        <v>0.368</v>
      </c>
      <c r="I136" s="120">
        <v>0.0036</v>
      </c>
      <c r="J136" s="120">
        <f t="shared" si="5"/>
        <v>0.0828</v>
      </c>
      <c r="K136" s="44" t="s">
        <v>507</v>
      </c>
      <c r="T136" s="4"/>
    </row>
    <row r="137" spans="1:20" ht="16.5" customHeight="1">
      <c r="A137" s="115">
        <v>1474</v>
      </c>
      <c r="B137" s="116" t="s">
        <v>333</v>
      </c>
      <c r="C137" s="116" t="s">
        <v>233</v>
      </c>
      <c r="D137" s="116" t="s">
        <v>238</v>
      </c>
      <c r="E137" s="116" t="s">
        <v>239</v>
      </c>
      <c r="F137" s="117">
        <v>0.028</v>
      </c>
      <c r="G137" s="118">
        <v>148</v>
      </c>
      <c r="H137" s="119">
        <f t="shared" si="4"/>
        <v>4.144</v>
      </c>
      <c r="I137" s="120">
        <v>0.0036</v>
      </c>
      <c r="J137" s="120">
        <f t="shared" si="5"/>
        <v>0.5327999999999999</v>
      </c>
      <c r="K137" s="44" t="s">
        <v>507</v>
      </c>
      <c r="T137" s="4"/>
    </row>
    <row r="138" spans="1:20" ht="16.5" customHeight="1">
      <c r="A138" s="115">
        <v>1520</v>
      </c>
      <c r="B138" s="118" t="s">
        <v>339</v>
      </c>
      <c r="C138" s="116" t="s">
        <v>233</v>
      </c>
      <c r="D138" s="116" t="s">
        <v>234</v>
      </c>
      <c r="E138" s="116" t="s">
        <v>340</v>
      </c>
      <c r="F138" s="121">
        <v>1.06</v>
      </c>
      <c r="G138" s="118">
        <v>6</v>
      </c>
      <c r="H138" s="119">
        <f t="shared" si="4"/>
        <v>6.36</v>
      </c>
      <c r="I138" s="120">
        <v>0.09540000000000001</v>
      </c>
      <c r="J138" s="120">
        <f t="shared" si="5"/>
        <v>0.5724</v>
      </c>
      <c r="K138" s="44" t="s">
        <v>507</v>
      </c>
      <c r="T138" s="4"/>
    </row>
    <row r="139" spans="1:20" ht="16.5" customHeight="1">
      <c r="A139" s="115">
        <v>1521</v>
      </c>
      <c r="B139" s="118" t="s">
        <v>341</v>
      </c>
      <c r="C139" s="116" t="s">
        <v>233</v>
      </c>
      <c r="D139" s="116" t="s">
        <v>234</v>
      </c>
      <c r="E139" s="116" t="s">
        <v>340</v>
      </c>
      <c r="F139" s="121">
        <v>1.06</v>
      </c>
      <c r="G139" s="118">
        <v>9</v>
      </c>
      <c r="H139" s="119">
        <f t="shared" si="4"/>
        <v>9.540000000000001</v>
      </c>
      <c r="I139" s="120">
        <v>0.09540000000000001</v>
      </c>
      <c r="J139" s="120">
        <f t="shared" si="5"/>
        <v>0.8586000000000001</v>
      </c>
      <c r="K139" s="44" t="s">
        <v>507</v>
      </c>
      <c r="T139" s="4"/>
    </row>
    <row r="140" spans="1:20" ht="16.5" customHeight="1">
      <c r="A140" s="115">
        <v>1609</v>
      </c>
      <c r="B140" s="118" t="s">
        <v>342</v>
      </c>
      <c r="C140" s="116" t="s">
        <v>233</v>
      </c>
      <c r="D140" s="116" t="s">
        <v>291</v>
      </c>
      <c r="E140" s="116" t="s">
        <v>292</v>
      </c>
      <c r="F140" s="117">
        <v>2.8</v>
      </c>
      <c r="G140" s="118">
        <f>94+100</f>
        <v>194</v>
      </c>
      <c r="H140" s="119">
        <f t="shared" si="4"/>
        <v>543.1999999999999</v>
      </c>
      <c r="I140" s="120">
        <v>0.45</v>
      </c>
      <c r="J140" s="120">
        <f t="shared" si="5"/>
        <v>87.3</v>
      </c>
      <c r="K140" s="44" t="s">
        <v>507</v>
      </c>
      <c r="T140" s="4"/>
    </row>
    <row r="141" spans="1:20" ht="16.5" customHeight="1">
      <c r="A141" s="115">
        <v>1683</v>
      </c>
      <c r="B141" s="118" t="s">
        <v>344</v>
      </c>
      <c r="C141" s="116" t="s">
        <v>233</v>
      </c>
      <c r="D141" s="116" t="s">
        <v>234</v>
      </c>
      <c r="E141" s="116" t="s">
        <v>235</v>
      </c>
      <c r="F141" s="121">
        <v>0.8</v>
      </c>
      <c r="G141" s="118">
        <v>1</v>
      </c>
      <c r="H141" s="119">
        <f t="shared" si="4"/>
        <v>0.8</v>
      </c>
      <c r="I141" s="120">
        <v>0.07200000000000001</v>
      </c>
      <c r="J141" s="120">
        <f t="shared" si="5"/>
        <v>0.07200000000000001</v>
      </c>
      <c r="K141" s="44" t="s">
        <v>507</v>
      </c>
      <c r="T141" s="4"/>
    </row>
    <row r="142" spans="1:20" ht="16.5" customHeight="1">
      <c r="A142" s="115">
        <v>1685</v>
      </c>
      <c r="B142" s="118" t="s">
        <v>345</v>
      </c>
      <c r="C142" s="116" t="s">
        <v>233</v>
      </c>
      <c r="D142" s="116" t="s">
        <v>234</v>
      </c>
      <c r="E142" s="116" t="s">
        <v>235</v>
      </c>
      <c r="F142" s="121">
        <v>0.8</v>
      </c>
      <c r="G142" s="118">
        <v>1</v>
      </c>
      <c r="H142" s="119">
        <f t="shared" si="4"/>
        <v>0.8</v>
      </c>
      <c r="I142" s="120">
        <v>0.07200000000000001</v>
      </c>
      <c r="J142" s="120">
        <f t="shared" si="5"/>
        <v>0.07200000000000001</v>
      </c>
      <c r="K142" s="44" t="s">
        <v>507</v>
      </c>
      <c r="T142" s="4"/>
    </row>
    <row r="143" spans="1:20" ht="16.5" customHeight="1">
      <c r="A143" s="115">
        <v>1686</v>
      </c>
      <c r="B143" s="118" t="s">
        <v>346</v>
      </c>
      <c r="C143" s="116" t="s">
        <v>233</v>
      </c>
      <c r="D143" s="116" t="s">
        <v>234</v>
      </c>
      <c r="E143" s="116" t="s">
        <v>235</v>
      </c>
      <c r="F143" s="121">
        <v>0.8</v>
      </c>
      <c r="G143" s="118">
        <v>1</v>
      </c>
      <c r="H143" s="119">
        <f t="shared" si="4"/>
        <v>0.8</v>
      </c>
      <c r="I143" s="120">
        <v>0.07200000000000001</v>
      </c>
      <c r="J143" s="120">
        <f t="shared" si="5"/>
        <v>0.07200000000000001</v>
      </c>
      <c r="K143" s="44" t="s">
        <v>507</v>
      </c>
      <c r="T143" s="4"/>
    </row>
    <row r="144" spans="1:20" ht="16.5" customHeight="1">
      <c r="A144" s="115">
        <v>1687</v>
      </c>
      <c r="B144" s="118" t="s">
        <v>347</v>
      </c>
      <c r="C144" s="116" t="s">
        <v>233</v>
      </c>
      <c r="D144" s="116" t="s">
        <v>234</v>
      </c>
      <c r="E144" s="116" t="s">
        <v>235</v>
      </c>
      <c r="F144" s="121">
        <v>0.8</v>
      </c>
      <c r="G144" s="118">
        <v>1</v>
      </c>
      <c r="H144" s="119">
        <f t="shared" si="4"/>
        <v>0.8</v>
      </c>
      <c r="I144" s="120">
        <v>0.07200000000000001</v>
      </c>
      <c r="J144" s="120">
        <f t="shared" si="5"/>
        <v>0.07200000000000001</v>
      </c>
      <c r="K144" s="44" t="s">
        <v>507</v>
      </c>
      <c r="T144" s="4"/>
    </row>
    <row r="145" spans="1:20" ht="16.5" customHeight="1">
      <c r="A145" s="115">
        <v>1698</v>
      </c>
      <c r="B145" s="118" t="s">
        <v>348</v>
      </c>
      <c r="C145" s="116" t="s">
        <v>233</v>
      </c>
      <c r="D145" s="116" t="s">
        <v>234</v>
      </c>
      <c r="E145" s="116" t="s">
        <v>340</v>
      </c>
      <c r="F145" s="121">
        <v>1.1</v>
      </c>
      <c r="G145" s="118">
        <v>24</v>
      </c>
      <c r="H145" s="119">
        <f t="shared" si="4"/>
        <v>26.400000000000002</v>
      </c>
      <c r="I145" s="120">
        <v>0.099</v>
      </c>
      <c r="J145" s="120">
        <f t="shared" si="5"/>
        <v>2.3760000000000003</v>
      </c>
      <c r="K145" s="44" t="s">
        <v>507</v>
      </c>
      <c r="T145" s="4"/>
    </row>
    <row r="146" spans="1:20" ht="16.5" customHeight="1">
      <c r="A146" s="115">
        <v>1699</v>
      </c>
      <c r="B146" s="118" t="s">
        <v>349</v>
      </c>
      <c r="C146" s="116" t="s">
        <v>233</v>
      </c>
      <c r="D146" s="116" t="s">
        <v>234</v>
      </c>
      <c r="E146" s="116" t="s">
        <v>340</v>
      </c>
      <c r="F146" s="121">
        <v>1.1</v>
      </c>
      <c r="G146" s="118">
        <v>21</v>
      </c>
      <c r="H146" s="119">
        <f t="shared" si="4"/>
        <v>23.1</v>
      </c>
      <c r="I146" s="120">
        <v>0.099</v>
      </c>
      <c r="J146" s="120">
        <f t="shared" si="5"/>
        <v>2.079</v>
      </c>
      <c r="K146" s="44" t="s">
        <v>507</v>
      </c>
      <c r="T146" s="4"/>
    </row>
    <row r="147" spans="1:20" ht="16.5" customHeight="1">
      <c r="A147" s="115">
        <v>1706</v>
      </c>
      <c r="B147" s="116" t="s">
        <v>350</v>
      </c>
      <c r="C147" s="116" t="s">
        <v>233</v>
      </c>
      <c r="D147" s="116" t="s">
        <v>234</v>
      </c>
      <c r="E147" s="116" t="s">
        <v>351</v>
      </c>
      <c r="F147" s="117">
        <v>2.15</v>
      </c>
      <c r="G147" s="118">
        <v>30</v>
      </c>
      <c r="H147" s="119">
        <f t="shared" si="4"/>
        <v>64.5</v>
      </c>
      <c r="I147" s="120">
        <v>0.1935</v>
      </c>
      <c r="J147" s="120">
        <f t="shared" si="5"/>
        <v>5.805</v>
      </c>
      <c r="K147" s="44" t="s">
        <v>507</v>
      </c>
      <c r="T147" s="4"/>
    </row>
    <row r="148" spans="1:20" ht="16.5" customHeight="1">
      <c r="A148" s="115">
        <v>1708</v>
      </c>
      <c r="B148" s="118" t="s">
        <v>352</v>
      </c>
      <c r="C148" s="116" t="s">
        <v>279</v>
      </c>
      <c r="D148" s="116" t="s">
        <v>353</v>
      </c>
      <c r="E148" s="116" t="s">
        <v>281</v>
      </c>
      <c r="F148" s="121">
        <v>5</v>
      </c>
      <c r="G148" s="118">
        <f>21</f>
        <v>21</v>
      </c>
      <c r="H148" s="119">
        <f t="shared" si="4"/>
        <v>105</v>
      </c>
      <c r="I148" s="120">
        <v>0.45</v>
      </c>
      <c r="J148" s="120">
        <f t="shared" si="5"/>
        <v>9.450000000000001</v>
      </c>
      <c r="K148" s="44" t="s">
        <v>507</v>
      </c>
      <c r="T148" s="4"/>
    </row>
    <row r="149" spans="1:20" ht="16.5" customHeight="1">
      <c r="A149" s="115">
        <v>1714</v>
      </c>
      <c r="B149" s="118" t="s">
        <v>352</v>
      </c>
      <c r="C149" s="116" t="s">
        <v>279</v>
      </c>
      <c r="D149" s="116" t="s">
        <v>353</v>
      </c>
      <c r="E149" s="116" t="s">
        <v>355</v>
      </c>
      <c r="F149" s="121">
        <v>5</v>
      </c>
      <c r="G149" s="118">
        <f>31</f>
        <v>31</v>
      </c>
      <c r="H149" s="119">
        <f t="shared" si="4"/>
        <v>155</v>
      </c>
      <c r="I149" s="120">
        <v>0.45</v>
      </c>
      <c r="J149" s="120">
        <f t="shared" si="5"/>
        <v>13.950000000000001</v>
      </c>
      <c r="K149" s="44" t="s">
        <v>507</v>
      </c>
      <c r="T149" s="4"/>
    </row>
    <row r="150" spans="1:20" ht="16.5" customHeight="1">
      <c r="A150" s="115">
        <v>1755</v>
      </c>
      <c r="B150" s="118" t="s">
        <v>360</v>
      </c>
      <c r="C150" s="116" t="s">
        <v>279</v>
      </c>
      <c r="D150" s="116" t="s">
        <v>359</v>
      </c>
      <c r="E150" s="116" t="s">
        <v>281</v>
      </c>
      <c r="F150" s="121">
        <v>6</v>
      </c>
      <c r="G150" s="118">
        <f>12</f>
        <v>12</v>
      </c>
      <c r="H150" s="119">
        <f t="shared" si="4"/>
        <v>72</v>
      </c>
      <c r="I150" s="120">
        <v>0.54</v>
      </c>
      <c r="J150" s="120">
        <f t="shared" si="5"/>
        <v>6.48</v>
      </c>
      <c r="K150" s="44" t="s">
        <v>507</v>
      </c>
      <c r="T150" s="4"/>
    </row>
    <row r="151" spans="1:20" ht="16.5" customHeight="1">
      <c r="A151" s="115">
        <v>1756</v>
      </c>
      <c r="B151" s="118" t="s">
        <v>360</v>
      </c>
      <c r="C151" s="116" t="s">
        <v>279</v>
      </c>
      <c r="D151" s="116" t="s">
        <v>359</v>
      </c>
      <c r="E151" s="116" t="s">
        <v>282</v>
      </c>
      <c r="F151" s="121">
        <v>6</v>
      </c>
      <c r="G151" s="118">
        <f>6</f>
        <v>6</v>
      </c>
      <c r="H151" s="119">
        <f t="shared" si="4"/>
        <v>36</v>
      </c>
      <c r="I151" s="120">
        <v>0.54</v>
      </c>
      <c r="J151" s="120">
        <f t="shared" si="5"/>
        <v>3.24</v>
      </c>
      <c r="K151" s="44" t="s">
        <v>507</v>
      </c>
      <c r="T151" s="4"/>
    </row>
    <row r="152" spans="1:20" ht="16.5" customHeight="1">
      <c r="A152" s="115">
        <v>1757</v>
      </c>
      <c r="B152" s="118" t="s">
        <v>360</v>
      </c>
      <c r="C152" s="116" t="s">
        <v>279</v>
      </c>
      <c r="D152" s="116" t="s">
        <v>359</v>
      </c>
      <c r="E152" s="116" t="s">
        <v>286</v>
      </c>
      <c r="F152" s="121">
        <v>6</v>
      </c>
      <c r="G152" s="118">
        <f>9</f>
        <v>9</v>
      </c>
      <c r="H152" s="119">
        <f t="shared" si="4"/>
        <v>54</v>
      </c>
      <c r="I152" s="120">
        <v>0.54</v>
      </c>
      <c r="J152" s="120">
        <f t="shared" si="5"/>
        <v>4.86</v>
      </c>
      <c r="K152" s="44" t="s">
        <v>507</v>
      </c>
      <c r="T152" s="4"/>
    </row>
    <row r="153" spans="1:20" ht="16.5" customHeight="1">
      <c r="A153" s="115">
        <v>1758</v>
      </c>
      <c r="B153" s="118" t="s">
        <v>360</v>
      </c>
      <c r="C153" s="116" t="s">
        <v>279</v>
      </c>
      <c r="D153" s="116" t="s">
        <v>359</v>
      </c>
      <c r="E153" s="116" t="s">
        <v>354</v>
      </c>
      <c r="F153" s="121">
        <v>6</v>
      </c>
      <c r="G153" s="118">
        <f>3</f>
        <v>3</v>
      </c>
      <c r="H153" s="119">
        <f t="shared" si="4"/>
        <v>18</v>
      </c>
      <c r="I153" s="120">
        <v>0.54</v>
      </c>
      <c r="J153" s="120">
        <f t="shared" si="5"/>
        <v>1.62</v>
      </c>
      <c r="K153" s="44" t="s">
        <v>507</v>
      </c>
      <c r="T153" s="4"/>
    </row>
    <row r="154" spans="1:20" ht="16.5" customHeight="1">
      <c r="A154" s="115">
        <v>1759</v>
      </c>
      <c r="B154" s="118" t="s">
        <v>360</v>
      </c>
      <c r="C154" s="116" t="s">
        <v>279</v>
      </c>
      <c r="D154" s="116" t="s">
        <v>359</v>
      </c>
      <c r="E154" s="116" t="s">
        <v>361</v>
      </c>
      <c r="F154" s="121">
        <v>6</v>
      </c>
      <c r="G154" s="118">
        <f>20</f>
        <v>20</v>
      </c>
      <c r="H154" s="119">
        <f t="shared" si="4"/>
        <v>120</v>
      </c>
      <c r="I154" s="120">
        <v>0.54</v>
      </c>
      <c r="J154" s="120">
        <f t="shared" si="5"/>
        <v>10.8</v>
      </c>
      <c r="K154" s="44" t="s">
        <v>507</v>
      </c>
      <c r="T154" s="4"/>
    </row>
    <row r="155" spans="1:20" ht="16.5" customHeight="1">
      <c r="A155" s="115">
        <v>1760</v>
      </c>
      <c r="B155" s="118" t="s">
        <v>360</v>
      </c>
      <c r="C155" s="116" t="s">
        <v>279</v>
      </c>
      <c r="D155" s="116" t="s">
        <v>359</v>
      </c>
      <c r="E155" s="116" t="s">
        <v>362</v>
      </c>
      <c r="F155" s="121">
        <v>6</v>
      </c>
      <c r="G155" s="118">
        <f>5</f>
        <v>5</v>
      </c>
      <c r="H155" s="119">
        <f t="shared" si="4"/>
        <v>30</v>
      </c>
      <c r="I155" s="120">
        <v>0.54</v>
      </c>
      <c r="J155" s="120">
        <f t="shared" si="5"/>
        <v>2.7</v>
      </c>
      <c r="K155" s="44" t="s">
        <v>507</v>
      </c>
      <c r="T155" s="4"/>
    </row>
    <row r="156" spans="1:20" ht="16.5" customHeight="1">
      <c r="A156" s="115">
        <v>1762</v>
      </c>
      <c r="B156" s="118" t="s">
        <v>360</v>
      </c>
      <c r="C156" s="116" t="s">
        <v>279</v>
      </c>
      <c r="D156" s="116" t="s">
        <v>359</v>
      </c>
      <c r="E156" s="116" t="s">
        <v>363</v>
      </c>
      <c r="F156" s="121">
        <v>6</v>
      </c>
      <c r="G156" s="118">
        <f>15</f>
        <v>15</v>
      </c>
      <c r="H156" s="119">
        <f t="shared" si="4"/>
        <v>90</v>
      </c>
      <c r="I156" s="120">
        <v>0.54</v>
      </c>
      <c r="J156" s="120">
        <f t="shared" si="5"/>
        <v>8.100000000000001</v>
      </c>
      <c r="K156" s="44" t="s">
        <v>507</v>
      </c>
      <c r="T156" s="4"/>
    </row>
    <row r="157" spans="1:20" ht="16.5" customHeight="1">
      <c r="A157" s="115">
        <v>1765</v>
      </c>
      <c r="B157" s="118" t="s">
        <v>360</v>
      </c>
      <c r="C157" s="116" t="s">
        <v>279</v>
      </c>
      <c r="D157" s="116" t="s">
        <v>359</v>
      </c>
      <c r="E157" s="116" t="s">
        <v>364</v>
      </c>
      <c r="F157" s="121">
        <v>6</v>
      </c>
      <c r="G157" s="118">
        <f>3</f>
        <v>3</v>
      </c>
      <c r="H157" s="119">
        <f t="shared" si="4"/>
        <v>18</v>
      </c>
      <c r="I157" s="120">
        <v>0.54</v>
      </c>
      <c r="J157" s="120">
        <f t="shared" si="5"/>
        <v>1.62</v>
      </c>
      <c r="K157" s="44" t="s">
        <v>507</v>
      </c>
      <c r="T157" s="4"/>
    </row>
    <row r="158" spans="1:20" ht="16.5" customHeight="1">
      <c r="A158" s="115">
        <v>1833</v>
      </c>
      <c r="B158" s="118" t="s">
        <v>365</v>
      </c>
      <c r="C158" s="116" t="s">
        <v>233</v>
      </c>
      <c r="D158" s="116" t="s">
        <v>238</v>
      </c>
      <c r="E158" s="116" t="s">
        <v>366</v>
      </c>
      <c r="F158" s="121">
        <v>1.72</v>
      </c>
      <c r="G158" s="118">
        <v>313</v>
      </c>
      <c r="H158" s="119">
        <f t="shared" si="4"/>
        <v>538.36</v>
      </c>
      <c r="I158" s="120">
        <v>0.15119999999999997</v>
      </c>
      <c r="J158" s="120">
        <f t="shared" si="5"/>
        <v>47.325599999999994</v>
      </c>
      <c r="K158" s="44" t="s">
        <v>507</v>
      </c>
      <c r="T158" s="4"/>
    </row>
    <row r="159" spans="1:20" ht="16.5" customHeight="1">
      <c r="A159" s="115">
        <v>1835</v>
      </c>
      <c r="B159" s="118" t="s">
        <v>367</v>
      </c>
      <c r="C159" s="116" t="s">
        <v>233</v>
      </c>
      <c r="D159" s="116" t="s">
        <v>238</v>
      </c>
      <c r="E159" s="116" t="s">
        <v>366</v>
      </c>
      <c r="F159" s="121">
        <v>1.72</v>
      </c>
      <c r="G159" s="118">
        <f>125</f>
        <v>125</v>
      </c>
      <c r="H159" s="119">
        <f t="shared" si="4"/>
        <v>215</v>
      </c>
      <c r="I159" s="120">
        <v>0.15119999999999997</v>
      </c>
      <c r="J159" s="120">
        <f t="shared" si="5"/>
        <v>18.899999999999995</v>
      </c>
      <c r="K159" s="44" t="s">
        <v>507</v>
      </c>
      <c r="T159" s="4"/>
    </row>
    <row r="160" spans="1:20" ht="16.5" customHeight="1">
      <c r="A160" s="115">
        <v>1837</v>
      </c>
      <c r="B160" s="118" t="s">
        <v>368</v>
      </c>
      <c r="C160" s="116" t="s">
        <v>233</v>
      </c>
      <c r="D160" s="116" t="s">
        <v>291</v>
      </c>
      <c r="E160" s="116" t="s">
        <v>308</v>
      </c>
      <c r="F160" s="121">
        <v>6</v>
      </c>
      <c r="G160" s="118">
        <f>4</f>
        <v>4</v>
      </c>
      <c r="H160" s="119">
        <f t="shared" si="4"/>
        <v>24</v>
      </c>
      <c r="I160" s="120">
        <v>0.5292000000000001</v>
      </c>
      <c r="J160" s="120">
        <f t="shared" si="5"/>
        <v>2.1168000000000005</v>
      </c>
      <c r="K160" s="44" t="s">
        <v>507</v>
      </c>
      <c r="T160" s="4"/>
    </row>
    <row r="161" spans="1:20" ht="16.5" customHeight="1">
      <c r="A161" s="115">
        <v>1838</v>
      </c>
      <c r="B161" s="118" t="s">
        <v>369</v>
      </c>
      <c r="C161" s="116" t="s">
        <v>233</v>
      </c>
      <c r="D161" s="116" t="s">
        <v>291</v>
      </c>
      <c r="E161" s="116" t="s">
        <v>308</v>
      </c>
      <c r="F161" s="121">
        <v>6</v>
      </c>
      <c r="G161" s="118">
        <v>3</v>
      </c>
      <c r="H161" s="119">
        <f t="shared" si="4"/>
        <v>18</v>
      </c>
      <c r="I161" s="120">
        <v>0.5292000000000001</v>
      </c>
      <c r="J161" s="120">
        <f t="shared" si="5"/>
        <v>1.5876000000000003</v>
      </c>
      <c r="K161" s="44" t="s">
        <v>507</v>
      </c>
      <c r="T161" s="4"/>
    </row>
    <row r="162" spans="1:20" ht="16.5" customHeight="1">
      <c r="A162" s="115">
        <v>1839</v>
      </c>
      <c r="B162" s="118" t="s">
        <v>370</v>
      </c>
      <c r="C162" s="116" t="s">
        <v>233</v>
      </c>
      <c r="D162" s="116" t="s">
        <v>291</v>
      </c>
      <c r="E162" s="116" t="s">
        <v>308</v>
      </c>
      <c r="F162" s="121">
        <v>6</v>
      </c>
      <c r="G162" s="118">
        <f>7</f>
        <v>7</v>
      </c>
      <c r="H162" s="119">
        <f t="shared" si="4"/>
        <v>42</v>
      </c>
      <c r="I162" s="120">
        <v>0.5292000000000001</v>
      </c>
      <c r="J162" s="120">
        <f t="shared" si="5"/>
        <v>3.7044000000000006</v>
      </c>
      <c r="K162" s="44" t="s">
        <v>507</v>
      </c>
      <c r="T162" s="4"/>
    </row>
    <row r="163" spans="1:20" ht="16.5" customHeight="1">
      <c r="A163" s="115">
        <v>1840</v>
      </c>
      <c r="B163" s="118" t="s">
        <v>371</v>
      </c>
      <c r="C163" s="116" t="s">
        <v>233</v>
      </c>
      <c r="D163" s="116" t="s">
        <v>291</v>
      </c>
      <c r="E163" s="116" t="s">
        <v>308</v>
      </c>
      <c r="F163" s="121">
        <v>6</v>
      </c>
      <c r="G163" s="118">
        <f>3</f>
        <v>3</v>
      </c>
      <c r="H163" s="119">
        <f t="shared" si="4"/>
        <v>18</v>
      </c>
      <c r="I163" s="120">
        <v>0.5292000000000001</v>
      </c>
      <c r="J163" s="120">
        <f t="shared" si="5"/>
        <v>1.5876000000000003</v>
      </c>
      <c r="K163" s="44" t="s">
        <v>507</v>
      </c>
      <c r="T163" s="4"/>
    </row>
    <row r="164" spans="1:20" ht="16.5" customHeight="1">
      <c r="A164" s="115">
        <v>1841</v>
      </c>
      <c r="B164" s="118" t="s">
        <v>372</v>
      </c>
      <c r="C164" s="116" t="s">
        <v>233</v>
      </c>
      <c r="D164" s="116" t="s">
        <v>291</v>
      </c>
      <c r="E164" s="116" t="s">
        <v>308</v>
      </c>
      <c r="F164" s="121">
        <v>6</v>
      </c>
      <c r="G164" s="118">
        <v>5</v>
      </c>
      <c r="H164" s="119">
        <f t="shared" si="4"/>
        <v>30</v>
      </c>
      <c r="I164" s="120">
        <v>0.5292000000000001</v>
      </c>
      <c r="J164" s="120">
        <f t="shared" si="5"/>
        <v>2.646000000000001</v>
      </c>
      <c r="K164" s="44" t="s">
        <v>507</v>
      </c>
      <c r="T164" s="4"/>
    </row>
    <row r="165" spans="1:20" ht="16.5" customHeight="1">
      <c r="A165" s="115">
        <v>1842</v>
      </c>
      <c r="B165" s="118" t="s">
        <v>373</v>
      </c>
      <c r="C165" s="116" t="s">
        <v>233</v>
      </c>
      <c r="D165" s="116" t="s">
        <v>291</v>
      </c>
      <c r="E165" s="116" t="s">
        <v>308</v>
      </c>
      <c r="F165" s="121">
        <v>6</v>
      </c>
      <c r="G165" s="118">
        <v>3</v>
      </c>
      <c r="H165" s="119">
        <f t="shared" si="4"/>
        <v>18</v>
      </c>
      <c r="I165" s="120">
        <v>0.5292000000000001</v>
      </c>
      <c r="J165" s="120">
        <f t="shared" si="5"/>
        <v>1.5876000000000003</v>
      </c>
      <c r="K165" s="44" t="s">
        <v>507</v>
      </c>
      <c r="T165" s="4"/>
    </row>
    <row r="166" spans="1:20" ht="16.5" customHeight="1">
      <c r="A166" s="115">
        <v>1868</v>
      </c>
      <c r="B166" s="123" t="s">
        <v>374</v>
      </c>
      <c r="C166" s="116" t="s">
        <v>233</v>
      </c>
      <c r="D166" s="116"/>
      <c r="E166" s="116"/>
      <c r="F166" s="121">
        <v>14.7</v>
      </c>
      <c r="G166" s="118">
        <v>2</v>
      </c>
      <c r="H166" s="119">
        <f t="shared" si="4"/>
        <v>29.4</v>
      </c>
      <c r="I166" s="120">
        <v>0.6587999999999999</v>
      </c>
      <c r="J166" s="120">
        <f t="shared" si="5"/>
        <v>1.3175999999999999</v>
      </c>
      <c r="K166" s="44" t="s">
        <v>507</v>
      </c>
      <c r="T166" s="4"/>
    </row>
    <row r="167" spans="1:20" ht="16.5" customHeight="1">
      <c r="A167" s="115">
        <v>1879</v>
      </c>
      <c r="B167" s="118" t="s">
        <v>376</v>
      </c>
      <c r="C167" s="116" t="s">
        <v>233</v>
      </c>
      <c r="D167" s="116" t="s">
        <v>291</v>
      </c>
      <c r="E167" s="116" t="s">
        <v>308</v>
      </c>
      <c r="F167" s="117">
        <v>18</v>
      </c>
      <c r="G167" s="118">
        <v>1</v>
      </c>
      <c r="H167" s="119">
        <f t="shared" si="4"/>
        <v>18</v>
      </c>
      <c r="I167" s="120">
        <v>0.8064000000000001</v>
      </c>
      <c r="J167" s="120">
        <f t="shared" si="5"/>
        <v>0.8064000000000001</v>
      </c>
      <c r="K167" s="44" t="s">
        <v>507</v>
      </c>
      <c r="T167" s="4"/>
    </row>
    <row r="168" spans="1:20" ht="16.5" customHeight="1">
      <c r="A168" s="115">
        <v>1909</v>
      </c>
      <c r="B168" s="118" t="s">
        <v>377</v>
      </c>
      <c r="C168" s="122" t="s">
        <v>233</v>
      </c>
      <c r="D168" s="116" t="s">
        <v>291</v>
      </c>
      <c r="E168" s="122" t="s">
        <v>378</v>
      </c>
      <c r="F168" s="121">
        <v>3.8</v>
      </c>
      <c r="G168" s="118">
        <v>131</v>
      </c>
      <c r="H168" s="119">
        <f t="shared" si="4"/>
        <v>497.79999999999995</v>
      </c>
      <c r="I168" s="120">
        <v>0.34199999999999997</v>
      </c>
      <c r="J168" s="120">
        <f t="shared" si="5"/>
        <v>44.802</v>
      </c>
      <c r="K168" s="44" t="s">
        <v>507</v>
      </c>
      <c r="T168" s="4"/>
    </row>
    <row r="169" spans="1:20" ht="16.5" customHeight="1">
      <c r="A169" s="115">
        <v>1910</v>
      </c>
      <c r="B169" s="118" t="s">
        <v>379</v>
      </c>
      <c r="C169" s="122" t="s">
        <v>233</v>
      </c>
      <c r="D169" s="116" t="s">
        <v>291</v>
      </c>
      <c r="E169" s="122" t="s">
        <v>378</v>
      </c>
      <c r="F169" s="121">
        <v>3.8</v>
      </c>
      <c r="G169" s="118">
        <v>123</v>
      </c>
      <c r="H169" s="119">
        <f t="shared" si="4"/>
        <v>467.4</v>
      </c>
      <c r="I169" s="120">
        <v>0.34199999999999997</v>
      </c>
      <c r="J169" s="120">
        <f t="shared" si="5"/>
        <v>42.065999999999995</v>
      </c>
      <c r="K169" s="44" t="s">
        <v>507</v>
      </c>
      <c r="T169" s="4"/>
    </row>
    <row r="170" spans="1:20" ht="16.5" customHeight="1">
      <c r="A170" s="115">
        <v>1918</v>
      </c>
      <c r="B170" s="118" t="s">
        <v>380</v>
      </c>
      <c r="C170" s="122" t="s">
        <v>233</v>
      </c>
      <c r="D170" s="116" t="s">
        <v>291</v>
      </c>
      <c r="E170" s="122" t="s">
        <v>378</v>
      </c>
      <c r="F170" s="121">
        <v>3.8</v>
      </c>
      <c r="G170" s="118">
        <f>100+50</f>
        <v>150</v>
      </c>
      <c r="H170" s="119">
        <f t="shared" si="4"/>
        <v>570</v>
      </c>
      <c r="I170" s="120">
        <v>0.34199999999999997</v>
      </c>
      <c r="J170" s="120">
        <f t="shared" si="5"/>
        <v>51.3</v>
      </c>
      <c r="K170" s="44" t="s">
        <v>507</v>
      </c>
      <c r="T170" s="4"/>
    </row>
    <row r="171" spans="1:20" ht="16.5" customHeight="1">
      <c r="A171" s="115">
        <v>1919</v>
      </c>
      <c r="B171" s="118" t="s">
        <v>381</v>
      </c>
      <c r="C171" s="122" t="s">
        <v>233</v>
      </c>
      <c r="D171" s="116" t="s">
        <v>291</v>
      </c>
      <c r="E171" s="122" t="s">
        <v>378</v>
      </c>
      <c r="F171" s="121">
        <v>3.8</v>
      </c>
      <c r="G171" s="118">
        <v>130</v>
      </c>
      <c r="H171" s="119">
        <f t="shared" si="4"/>
        <v>494</v>
      </c>
      <c r="I171" s="120">
        <v>0.34199999999999997</v>
      </c>
      <c r="J171" s="120">
        <f t="shared" si="5"/>
        <v>44.459999999999994</v>
      </c>
      <c r="K171" s="44" t="s">
        <v>507</v>
      </c>
      <c r="T171" s="4"/>
    </row>
    <row r="172" spans="1:20" ht="16.5" customHeight="1">
      <c r="A172" s="115">
        <v>1920</v>
      </c>
      <c r="B172" s="118" t="s">
        <v>382</v>
      </c>
      <c r="C172" s="122" t="s">
        <v>233</v>
      </c>
      <c r="D172" s="116" t="s">
        <v>291</v>
      </c>
      <c r="E172" s="122" t="s">
        <v>378</v>
      </c>
      <c r="F172" s="121">
        <v>3.8</v>
      </c>
      <c r="G172" s="118">
        <v>97</v>
      </c>
      <c r="H172" s="119">
        <f t="shared" si="4"/>
        <v>368.59999999999997</v>
      </c>
      <c r="I172" s="120">
        <v>0.34199999999999997</v>
      </c>
      <c r="J172" s="120">
        <f t="shared" si="5"/>
        <v>33.174</v>
      </c>
      <c r="K172" s="44" t="s">
        <v>507</v>
      </c>
      <c r="T172" s="4"/>
    </row>
    <row r="173" spans="1:20" ht="16.5" customHeight="1">
      <c r="A173" s="115">
        <v>1921</v>
      </c>
      <c r="B173" s="118" t="s">
        <v>383</v>
      </c>
      <c r="C173" s="122" t="s">
        <v>233</v>
      </c>
      <c r="D173" s="116" t="s">
        <v>291</v>
      </c>
      <c r="E173" s="122" t="s">
        <v>378</v>
      </c>
      <c r="F173" s="121">
        <v>3.8</v>
      </c>
      <c r="G173" s="118">
        <f>148-48</f>
        <v>100</v>
      </c>
      <c r="H173" s="119">
        <f t="shared" si="4"/>
        <v>380</v>
      </c>
      <c r="I173" s="120">
        <v>0.34199999999999997</v>
      </c>
      <c r="J173" s="120">
        <f t="shared" si="5"/>
        <v>34.199999999999996</v>
      </c>
      <c r="K173" s="44" t="s">
        <v>507</v>
      </c>
      <c r="T173" s="4"/>
    </row>
    <row r="174" spans="1:20" ht="16.5" customHeight="1">
      <c r="A174" s="115">
        <v>1922</v>
      </c>
      <c r="B174" s="118" t="s">
        <v>384</v>
      </c>
      <c r="C174" s="122" t="s">
        <v>233</v>
      </c>
      <c r="D174" s="116" t="s">
        <v>291</v>
      </c>
      <c r="E174" s="122" t="s">
        <v>378</v>
      </c>
      <c r="F174" s="121">
        <v>3.8</v>
      </c>
      <c r="G174" s="118">
        <f>127-79</f>
        <v>48</v>
      </c>
      <c r="H174" s="119">
        <f t="shared" si="4"/>
        <v>182.39999999999998</v>
      </c>
      <c r="I174" s="120">
        <v>0.34199999999999997</v>
      </c>
      <c r="J174" s="120">
        <f t="shared" si="5"/>
        <v>16.415999999999997</v>
      </c>
      <c r="K174" s="44" t="s">
        <v>507</v>
      </c>
      <c r="T174" s="4"/>
    </row>
    <row r="175" spans="1:20" ht="16.5" customHeight="1">
      <c r="A175" s="115">
        <v>1923</v>
      </c>
      <c r="B175" s="118" t="s">
        <v>385</v>
      </c>
      <c r="C175" s="122" t="s">
        <v>233</v>
      </c>
      <c r="D175" s="116" t="s">
        <v>291</v>
      </c>
      <c r="E175" s="122" t="s">
        <v>378</v>
      </c>
      <c r="F175" s="121">
        <v>3.8</v>
      </c>
      <c r="G175" s="118">
        <v>88</v>
      </c>
      <c r="H175" s="119">
        <f t="shared" si="4"/>
        <v>334.4</v>
      </c>
      <c r="I175" s="120">
        <v>0.34199999999999997</v>
      </c>
      <c r="J175" s="120">
        <f t="shared" si="5"/>
        <v>30.095999999999997</v>
      </c>
      <c r="K175" s="44" t="s">
        <v>507</v>
      </c>
      <c r="T175" s="4"/>
    </row>
    <row r="176" spans="1:20" ht="16.5" customHeight="1">
      <c r="A176" s="115">
        <v>1924</v>
      </c>
      <c r="B176" s="118" t="s">
        <v>386</v>
      </c>
      <c r="C176" s="122" t="s">
        <v>233</v>
      </c>
      <c r="D176" s="116" t="s">
        <v>291</v>
      </c>
      <c r="E176" s="122" t="s">
        <v>378</v>
      </c>
      <c r="F176" s="121">
        <v>3.8</v>
      </c>
      <c r="G176" s="118">
        <v>144</v>
      </c>
      <c r="H176" s="119">
        <f t="shared" si="4"/>
        <v>547.1999999999999</v>
      </c>
      <c r="I176" s="120">
        <v>0.34199999999999997</v>
      </c>
      <c r="J176" s="120">
        <f t="shared" si="5"/>
        <v>49.248</v>
      </c>
      <c r="K176" s="44" t="s">
        <v>507</v>
      </c>
      <c r="T176" s="4"/>
    </row>
    <row r="177" spans="1:20" ht="16.5" customHeight="1">
      <c r="A177" s="115">
        <v>1925</v>
      </c>
      <c r="B177" s="118" t="s">
        <v>387</v>
      </c>
      <c r="C177" s="122" t="s">
        <v>233</v>
      </c>
      <c r="D177" s="116" t="s">
        <v>291</v>
      </c>
      <c r="E177" s="122" t="s">
        <v>378</v>
      </c>
      <c r="F177" s="121">
        <v>3.8</v>
      </c>
      <c r="G177" s="118">
        <v>115</v>
      </c>
      <c r="H177" s="119">
        <f t="shared" si="4"/>
        <v>437</v>
      </c>
      <c r="I177" s="120">
        <v>0.34199999999999997</v>
      </c>
      <c r="J177" s="120">
        <f t="shared" si="5"/>
        <v>39.33</v>
      </c>
      <c r="K177" s="44" t="s">
        <v>507</v>
      </c>
      <c r="T177" s="4"/>
    </row>
    <row r="178" spans="1:20" ht="16.5" customHeight="1">
      <c r="A178" s="115">
        <v>1926</v>
      </c>
      <c r="B178" s="118" t="s">
        <v>388</v>
      </c>
      <c r="C178" s="122" t="s">
        <v>233</v>
      </c>
      <c r="D178" s="116" t="s">
        <v>291</v>
      </c>
      <c r="E178" s="122" t="s">
        <v>378</v>
      </c>
      <c r="F178" s="121">
        <v>3.8</v>
      </c>
      <c r="G178" s="118">
        <v>139</v>
      </c>
      <c r="H178" s="119">
        <f t="shared" si="4"/>
        <v>528.1999999999999</v>
      </c>
      <c r="I178" s="120">
        <v>0.34199999999999997</v>
      </c>
      <c r="J178" s="120">
        <f t="shared" si="5"/>
        <v>47.538</v>
      </c>
      <c r="K178" s="44" t="s">
        <v>507</v>
      </c>
      <c r="T178" s="4"/>
    </row>
    <row r="179" spans="1:20" ht="16.5" customHeight="1">
      <c r="A179" s="115">
        <v>1927</v>
      </c>
      <c r="B179" s="118" t="s">
        <v>389</v>
      </c>
      <c r="C179" s="122" t="s">
        <v>233</v>
      </c>
      <c r="D179" s="116" t="s">
        <v>291</v>
      </c>
      <c r="E179" s="122" t="s">
        <v>378</v>
      </c>
      <c r="F179" s="121">
        <v>3.8</v>
      </c>
      <c r="G179" s="118">
        <v>140</v>
      </c>
      <c r="H179" s="119">
        <f t="shared" si="4"/>
        <v>532</v>
      </c>
      <c r="I179" s="120">
        <v>0.34199999999999997</v>
      </c>
      <c r="J179" s="120">
        <f t="shared" si="5"/>
        <v>47.879999999999995</v>
      </c>
      <c r="K179" s="44" t="s">
        <v>507</v>
      </c>
      <c r="T179" s="4"/>
    </row>
    <row r="180" spans="1:20" ht="16.5" customHeight="1">
      <c r="A180" s="115">
        <v>1928</v>
      </c>
      <c r="B180" s="118" t="s">
        <v>390</v>
      </c>
      <c r="C180" s="122" t="s">
        <v>233</v>
      </c>
      <c r="D180" s="116" t="s">
        <v>291</v>
      </c>
      <c r="E180" s="122" t="s">
        <v>378</v>
      </c>
      <c r="F180" s="121">
        <v>3.8</v>
      </c>
      <c r="G180" s="118">
        <v>145</v>
      </c>
      <c r="H180" s="119">
        <f t="shared" si="4"/>
        <v>551</v>
      </c>
      <c r="I180" s="120">
        <v>0.34199999999999997</v>
      </c>
      <c r="J180" s="120">
        <f t="shared" si="5"/>
        <v>49.589999999999996</v>
      </c>
      <c r="K180" s="44" t="s">
        <v>507</v>
      </c>
      <c r="T180" s="4"/>
    </row>
    <row r="181" spans="1:20" ht="16.5" customHeight="1">
      <c r="A181" s="115">
        <v>1954</v>
      </c>
      <c r="B181" s="118" t="s">
        <v>394</v>
      </c>
      <c r="C181" s="116" t="s">
        <v>233</v>
      </c>
      <c r="D181" s="116" t="s">
        <v>291</v>
      </c>
      <c r="E181" s="116" t="s">
        <v>395</v>
      </c>
      <c r="F181" s="117">
        <v>1.22</v>
      </c>
      <c r="G181" s="118">
        <v>3194</v>
      </c>
      <c r="H181" s="119">
        <f t="shared" si="4"/>
        <v>3896.68</v>
      </c>
      <c r="I181" s="120">
        <v>0.11088</v>
      </c>
      <c r="J181" s="120">
        <f t="shared" si="5"/>
        <v>354.15072000000004</v>
      </c>
      <c r="K181" s="44" t="s">
        <v>507</v>
      </c>
      <c r="T181" s="4"/>
    </row>
    <row r="182" spans="1:20" ht="16.5" customHeight="1">
      <c r="A182" s="115">
        <v>2001</v>
      </c>
      <c r="B182" s="118" t="s">
        <v>396</v>
      </c>
      <c r="C182" s="116" t="s">
        <v>233</v>
      </c>
      <c r="D182" s="116" t="s">
        <v>238</v>
      </c>
      <c r="E182" s="116" t="s">
        <v>366</v>
      </c>
      <c r="F182" s="121">
        <v>1.72</v>
      </c>
      <c r="G182" s="118">
        <f>205</f>
        <v>205</v>
      </c>
      <c r="H182" s="119">
        <f t="shared" si="4"/>
        <v>352.6</v>
      </c>
      <c r="I182" s="120">
        <v>0.15119999999999997</v>
      </c>
      <c r="J182" s="120">
        <f t="shared" si="5"/>
        <v>30.995999999999995</v>
      </c>
      <c r="K182" s="44" t="s">
        <v>507</v>
      </c>
      <c r="T182" s="4"/>
    </row>
    <row r="183" spans="1:20" ht="16.5" customHeight="1">
      <c r="A183" s="115">
        <v>2002</v>
      </c>
      <c r="B183" s="118" t="s">
        <v>397</v>
      </c>
      <c r="C183" s="116" t="s">
        <v>233</v>
      </c>
      <c r="D183" s="116" t="s">
        <v>238</v>
      </c>
      <c r="E183" s="116" t="s">
        <v>366</v>
      </c>
      <c r="F183" s="121">
        <v>1.72</v>
      </c>
      <c r="G183" s="118">
        <f>625+295</f>
        <v>920</v>
      </c>
      <c r="H183" s="119">
        <f t="shared" si="4"/>
        <v>1582.3999999999999</v>
      </c>
      <c r="I183" s="120">
        <v>0.15119999999999997</v>
      </c>
      <c r="J183" s="120">
        <f t="shared" si="5"/>
        <v>139.10399999999998</v>
      </c>
      <c r="K183" s="44" t="s">
        <v>507</v>
      </c>
      <c r="T183" s="4"/>
    </row>
    <row r="184" spans="1:20" ht="16.5" customHeight="1">
      <c r="A184" s="115">
        <v>2003</v>
      </c>
      <c r="B184" s="118" t="s">
        <v>398</v>
      </c>
      <c r="C184" s="116" t="s">
        <v>233</v>
      </c>
      <c r="D184" s="116" t="s">
        <v>238</v>
      </c>
      <c r="E184" s="116" t="s">
        <v>366</v>
      </c>
      <c r="F184" s="121">
        <v>1.72</v>
      </c>
      <c r="G184" s="118">
        <v>187</v>
      </c>
      <c r="H184" s="119">
        <f t="shared" si="4"/>
        <v>321.64</v>
      </c>
      <c r="I184" s="120">
        <v>0.15119999999999997</v>
      </c>
      <c r="J184" s="120">
        <f t="shared" si="5"/>
        <v>28.274399999999996</v>
      </c>
      <c r="K184" s="44" t="s">
        <v>507</v>
      </c>
      <c r="T184" s="4"/>
    </row>
    <row r="185" spans="1:20" ht="16.5" customHeight="1">
      <c r="A185" s="115">
        <v>2004</v>
      </c>
      <c r="B185" s="118" t="s">
        <v>399</v>
      </c>
      <c r="C185" s="116" t="s">
        <v>233</v>
      </c>
      <c r="D185" s="116" t="s">
        <v>238</v>
      </c>
      <c r="E185" s="116" t="s">
        <v>366</v>
      </c>
      <c r="F185" s="121">
        <v>1.72</v>
      </c>
      <c r="G185" s="118">
        <v>425</v>
      </c>
      <c r="H185" s="119">
        <f t="shared" si="4"/>
        <v>731</v>
      </c>
      <c r="I185" s="120">
        <v>0.15119999999999997</v>
      </c>
      <c r="J185" s="120">
        <f t="shared" si="5"/>
        <v>64.25999999999999</v>
      </c>
      <c r="K185" s="44" t="s">
        <v>507</v>
      </c>
      <c r="T185" s="4"/>
    </row>
    <row r="186" spans="1:20" ht="16.5" customHeight="1">
      <c r="A186" s="115">
        <v>2005</v>
      </c>
      <c r="B186" s="118" t="s">
        <v>400</v>
      </c>
      <c r="C186" s="116" t="s">
        <v>233</v>
      </c>
      <c r="D186" s="116" t="s">
        <v>238</v>
      </c>
      <c r="E186" s="116" t="s">
        <v>366</v>
      </c>
      <c r="F186" s="121">
        <v>1.72</v>
      </c>
      <c r="G186" s="118">
        <f>305-10</f>
        <v>295</v>
      </c>
      <c r="H186" s="119">
        <f t="shared" si="4"/>
        <v>507.4</v>
      </c>
      <c r="I186" s="120">
        <v>0.15119999999999997</v>
      </c>
      <c r="J186" s="120">
        <f t="shared" si="5"/>
        <v>44.60399999999999</v>
      </c>
      <c r="K186" s="44" t="s">
        <v>507</v>
      </c>
      <c r="T186" s="4"/>
    </row>
    <row r="187" spans="1:20" ht="16.5" customHeight="1">
      <c r="A187" s="115">
        <v>2006</v>
      </c>
      <c r="B187" s="118" t="s">
        <v>401</v>
      </c>
      <c r="C187" s="116" t="s">
        <v>233</v>
      </c>
      <c r="D187" s="116" t="s">
        <v>238</v>
      </c>
      <c r="E187" s="116" t="s">
        <v>366</v>
      </c>
      <c r="F187" s="121">
        <v>1.72</v>
      </c>
      <c r="G187" s="118">
        <f>298</f>
        <v>298</v>
      </c>
      <c r="H187" s="119">
        <f t="shared" si="4"/>
        <v>512.56</v>
      </c>
      <c r="I187" s="120">
        <v>0.15119999999999997</v>
      </c>
      <c r="J187" s="120">
        <f t="shared" si="5"/>
        <v>45.057599999999994</v>
      </c>
      <c r="K187" s="44" t="s">
        <v>507</v>
      </c>
      <c r="T187" s="4"/>
    </row>
    <row r="188" spans="1:20" ht="16.5" customHeight="1">
      <c r="A188" s="115">
        <v>2020</v>
      </c>
      <c r="B188" s="118" t="s">
        <v>403</v>
      </c>
      <c r="C188" s="116" t="s">
        <v>279</v>
      </c>
      <c r="D188" s="116" t="s">
        <v>404</v>
      </c>
      <c r="E188" s="116" t="s">
        <v>281</v>
      </c>
      <c r="F188" s="121">
        <v>6.88</v>
      </c>
      <c r="G188" s="118">
        <f>9</f>
        <v>9</v>
      </c>
      <c r="H188" s="119">
        <f t="shared" si="4"/>
        <v>61.92</v>
      </c>
      <c r="I188" s="120">
        <v>0.5544</v>
      </c>
      <c r="J188" s="120">
        <f t="shared" si="5"/>
        <v>4.9896</v>
      </c>
      <c r="K188" s="44" t="s">
        <v>507</v>
      </c>
      <c r="T188" s="4"/>
    </row>
    <row r="189" spans="1:20" ht="16.5" customHeight="1">
      <c r="A189" s="115">
        <v>2021</v>
      </c>
      <c r="B189" s="118" t="s">
        <v>405</v>
      </c>
      <c r="C189" s="116" t="s">
        <v>279</v>
      </c>
      <c r="D189" s="116" t="s">
        <v>404</v>
      </c>
      <c r="E189" s="116" t="s">
        <v>281</v>
      </c>
      <c r="F189" s="121">
        <v>6.88</v>
      </c>
      <c r="G189" s="118">
        <f>20</f>
        <v>20</v>
      </c>
      <c r="H189" s="119">
        <f t="shared" si="4"/>
        <v>137.6</v>
      </c>
      <c r="I189" s="120">
        <v>0.5544</v>
      </c>
      <c r="J189" s="120">
        <f t="shared" si="5"/>
        <v>11.088000000000001</v>
      </c>
      <c r="K189" s="44" t="s">
        <v>507</v>
      </c>
      <c r="T189" s="4"/>
    </row>
    <row r="190" spans="1:20" ht="16.5" customHeight="1">
      <c r="A190" s="115">
        <v>2022</v>
      </c>
      <c r="B190" s="118" t="s">
        <v>406</v>
      </c>
      <c r="C190" s="116" t="s">
        <v>279</v>
      </c>
      <c r="D190" s="116" t="s">
        <v>404</v>
      </c>
      <c r="E190" s="116" t="s">
        <v>281</v>
      </c>
      <c r="F190" s="121">
        <v>6.88</v>
      </c>
      <c r="G190" s="118">
        <v>23</v>
      </c>
      <c r="H190" s="119">
        <f t="shared" si="4"/>
        <v>158.24</v>
      </c>
      <c r="I190" s="120">
        <v>0.5544</v>
      </c>
      <c r="J190" s="120">
        <f t="shared" si="5"/>
        <v>12.7512</v>
      </c>
      <c r="K190" s="44" t="s">
        <v>507</v>
      </c>
      <c r="T190" s="4"/>
    </row>
    <row r="191" spans="1:20" ht="16.5" customHeight="1">
      <c r="A191" s="115">
        <v>2023</v>
      </c>
      <c r="B191" s="118" t="s">
        <v>407</v>
      </c>
      <c r="C191" s="116" t="s">
        <v>279</v>
      </c>
      <c r="D191" s="116" t="s">
        <v>404</v>
      </c>
      <c r="E191" s="116" t="s">
        <v>281</v>
      </c>
      <c r="F191" s="121">
        <v>2.29</v>
      </c>
      <c r="G191" s="118">
        <f>14</f>
        <v>14</v>
      </c>
      <c r="H191" s="119">
        <f t="shared" si="4"/>
        <v>32.06</v>
      </c>
      <c r="I191" s="120">
        <v>0.2061</v>
      </c>
      <c r="J191" s="120">
        <f t="shared" si="5"/>
        <v>2.8854</v>
      </c>
      <c r="K191" s="44" t="s">
        <v>507</v>
      </c>
      <c r="T191" s="4"/>
    </row>
    <row r="192" spans="1:20" ht="16.5" customHeight="1">
      <c r="A192" s="115">
        <v>2024</v>
      </c>
      <c r="B192" s="118" t="s">
        <v>408</v>
      </c>
      <c r="C192" s="116" t="s">
        <v>279</v>
      </c>
      <c r="D192" s="116" t="s">
        <v>404</v>
      </c>
      <c r="E192" s="116" t="s">
        <v>281</v>
      </c>
      <c r="F192" s="121">
        <v>2.29</v>
      </c>
      <c r="G192" s="118">
        <v>20</v>
      </c>
      <c r="H192" s="119">
        <f t="shared" si="4"/>
        <v>45.8</v>
      </c>
      <c r="I192" s="120">
        <v>0.2061</v>
      </c>
      <c r="J192" s="120">
        <f t="shared" si="5"/>
        <v>4.122</v>
      </c>
      <c r="K192" s="44" t="s">
        <v>507</v>
      </c>
      <c r="T192" s="4"/>
    </row>
    <row r="193" spans="1:20" ht="16.5" customHeight="1">
      <c r="A193" s="115">
        <v>2025</v>
      </c>
      <c r="B193" s="118" t="s">
        <v>408</v>
      </c>
      <c r="C193" s="116" t="s">
        <v>279</v>
      </c>
      <c r="D193" s="116" t="s">
        <v>404</v>
      </c>
      <c r="E193" s="116" t="s">
        <v>282</v>
      </c>
      <c r="F193" s="121">
        <v>2.29</v>
      </c>
      <c r="G193" s="118">
        <f>17</f>
        <v>17</v>
      </c>
      <c r="H193" s="119">
        <f t="shared" si="4"/>
        <v>38.93</v>
      </c>
      <c r="I193" s="120">
        <v>0.2061</v>
      </c>
      <c r="J193" s="120">
        <f t="shared" si="5"/>
        <v>3.5037000000000003</v>
      </c>
      <c r="K193" s="44" t="s">
        <v>507</v>
      </c>
      <c r="T193" s="4"/>
    </row>
    <row r="194" spans="1:20" ht="16.5" customHeight="1">
      <c r="A194" s="115">
        <v>2026</v>
      </c>
      <c r="B194" s="118" t="s">
        <v>409</v>
      </c>
      <c r="C194" s="116" t="s">
        <v>279</v>
      </c>
      <c r="D194" s="116" t="s">
        <v>404</v>
      </c>
      <c r="E194" s="116" t="s">
        <v>281</v>
      </c>
      <c r="F194" s="121">
        <v>2.29</v>
      </c>
      <c r="G194" s="118">
        <f>14</f>
        <v>14</v>
      </c>
      <c r="H194" s="119">
        <f t="shared" si="4"/>
        <v>32.06</v>
      </c>
      <c r="I194" s="120">
        <v>0.2061</v>
      </c>
      <c r="J194" s="120">
        <f t="shared" si="5"/>
        <v>2.8854</v>
      </c>
      <c r="K194" s="44" t="s">
        <v>507</v>
      </c>
      <c r="T194" s="4"/>
    </row>
    <row r="195" spans="1:20" ht="16.5" customHeight="1">
      <c r="A195" s="115">
        <v>2027</v>
      </c>
      <c r="B195" s="118" t="s">
        <v>409</v>
      </c>
      <c r="C195" s="116" t="s">
        <v>279</v>
      </c>
      <c r="D195" s="116" t="s">
        <v>404</v>
      </c>
      <c r="E195" s="116" t="s">
        <v>282</v>
      </c>
      <c r="F195" s="121">
        <v>2.29</v>
      </c>
      <c r="G195" s="118">
        <f>19</f>
        <v>19</v>
      </c>
      <c r="H195" s="119">
        <f t="shared" si="4"/>
        <v>43.51</v>
      </c>
      <c r="I195" s="120">
        <v>0.2061</v>
      </c>
      <c r="J195" s="120">
        <f t="shared" si="5"/>
        <v>3.9159</v>
      </c>
      <c r="K195" s="44" t="s">
        <v>507</v>
      </c>
      <c r="T195" s="4"/>
    </row>
    <row r="196" spans="1:20" ht="16.5" customHeight="1">
      <c r="A196" s="115">
        <v>2028</v>
      </c>
      <c r="B196" s="118" t="s">
        <v>410</v>
      </c>
      <c r="C196" s="116" t="s">
        <v>279</v>
      </c>
      <c r="D196" s="116" t="s">
        <v>404</v>
      </c>
      <c r="E196" s="116" t="s">
        <v>281</v>
      </c>
      <c r="F196" s="121">
        <v>2.29</v>
      </c>
      <c r="G196" s="118">
        <f>14</f>
        <v>14</v>
      </c>
      <c r="H196" s="119">
        <f t="shared" si="4"/>
        <v>32.06</v>
      </c>
      <c r="I196" s="120">
        <v>0.2061</v>
      </c>
      <c r="J196" s="120">
        <f t="shared" si="5"/>
        <v>2.8854</v>
      </c>
      <c r="K196" s="44" t="s">
        <v>507</v>
      </c>
      <c r="T196" s="4"/>
    </row>
    <row r="197" spans="1:20" ht="16.5" customHeight="1">
      <c r="A197" s="115">
        <v>2029</v>
      </c>
      <c r="B197" s="118" t="s">
        <v>410</v>
      </c>
      <c r="C197" s="116" t="s">
        <v>279</v>
      </c>
      <c r="D197" s="116" t="s">
        <v>404</v>
      </c>
      <c r="E197" s="116" t="s">
        <v>282</v>
      </c>
      <c r="F197" s="121">
        <v>2.29</v>
      </c>
      <c r="G197" s="118">
        <f>14</f>
        <v>14</v>
      </c>
      <c r="H197" s="119">
        <f aca="true" t="shared" si="6" ref="H197:H218">G197*F197</f>
        <v>32.06</v>
      </c>
      <c r="I197" s="120">
        <v>0.2061</v>
      </c>
      <c r="J197" s="120">
        <f aca="true" t="shared" si="7" ref="J197:J218">G197*I197</f>
        <v>2.8854</v>
      </c>
      <c r="K197" s="44" t="s">
        <v>507</v>
      </c>
      <c r="T197" s="4"/>
    </row>
    <row r="198" spans="1:20" ht="16.5" customHeight="1">
      <c r="A198" s="115">
        <v>2030</v>
      </c>
      <c r="B198" s="118" t="s">
        <v>411</v>
      </c>
      <c r="C198" s="116" t="s">
        <v>279</v>
      </c>
      <c r="D198" s="116" t="s">
        <v>404</v>
      </c>
      <c r="E198" s="116" t="s">
        <v>281</v>
      </c>
      <c r="F198" s="121">
        <v>2.29</v>
      </c>
      <c r="G198" s="118">
        <f>10</f>
        <v>10</v>
      </c>
      <c r="H198" s="119">
        <f t="shared" si="6"/>
        <v>22.9</v>
      </c>
      <c r="I198" s="120">
        <v>0.2061</v>
      </c>
      <c r="J198" s="120">
        <f t="shared" si="7"/>
        <v>2.061</v>
      </c>
      <c r="K198" s="44" t="s">
        <v>507</v>
      </c>
      <c r="T198" s="4"/>
    </row>
    <row r="199" spans="1:20" ht="16.5" customHeight="1">
      <c r="A199" s="115">
        <v>2031</v>
      </c>
      <c r="B199" s="118" t="s">
        <v>411</v>
      </c>
      <c r="C199" s="116" t="s">
        <v>279</v>
      </c>
      <c r="D199" s="116" t="s">
        <v>404</v>
      </c>
      <c r="E199" s="116" t="s">
        <v>282</v>
      </c>
      <c r="F199" s="121">
        <v>2.29</v>
      </c>
      <c r="G199" s="118">
        <f>15</f>
        <v>15</v>
      </c>
      <c r="H199" s="119">
        <f t="shared" si="6"/>
        <v>34.35</v>
      </c>
      <c r="I199" s="120">
        <v>0.2061</v>
      </c>
      <c r="J199" s="120">
        <f t="shared" si="7"/>
        <v>3.0915</v>
      </c>
      <c r="K199" s="44" t="s">
        <v>507</v>
      </c>
      <c r="T199" s="4"/>
    </row>
    <row r="200" spans="1:20" ht="16.5" customHeight="1">
      <c r="A200" s="115">
        <v>2109</v>
      </c>
      <c r="B200" s="118" t="s">
        <v>420</v>
      </c>
      <c r="C200" s="118" t="s">
        <v>233</v>
      </c>
      <c r="D200" s="116" t="s">
        <v>291</v>
      </c>
      <c r="E200" s="122" t="s">
        <v>414</v>
      </c>
      <c r="F200" s="121">
        <v>16.5</v>
      </c>
      <c r="G200" s="118">
        <v>1</v>
      </c>
      <c r="H200" s="119">
        <f t="shared" si="6"/>
        <v>16.5</v>
      </c>
      <c r="I200" s="120">
        <v>1.134</v>
      </c>
      <c r="J200" s="120">
        <f t="shared" si="7"/>
        <v>1.134</v>
      </c>
      <c r="K200" s="44" t="s">
        <v>507</v>
      </c>
      <c r="T200" s="4"/>
    </row>
    <row r="201" spans="1:20" ht="16.5" customHeight="1">
      <c r="A201" s="115">
        <v>2110</v>
      </c>
      <c r="B201" s="118" t="s">
        <v>421</v>
      </c>
      <c r="C201" s="116" t="s">
        <v>233</v>
      </c>
      <c r="D201" s="116" t="s">
        <v>291</v>
      </c>
      <c r="E201" s="116" t="s">
        <v>308</v>
      </c>
      <c r="F201" s="121">
        <v>3.5</v>
      </c>
      <c r="G201" s="118">
        <v>8</v>
      </c>
      <c r="H201" s="119">
        <f t="shared" si="6"/>
        <v>28</v>
      </c>
      <c r="I201" s="120">
        <v>0.2772</v>
      </c>
      <c r="J201" s="120">
        <f t="shared" si="7"/>
        <v>2.2176</v>
      </c>
      <c r="K201" s="44" t="s">
        <v>507</v>
      </c>
      <c r="T201" s="4"/>
    </row>
    <row r="202" spans="1:20" ht="16.5" customHeight="1">
      <c r="A202" s="115">
        <v>2178</v>
      </c>
      <c r="B202" s="118" t="s">
        <v>422</v>
      </c>
      <c r="C202" s="116" t="s">
        <v>233</v>
      </c>
      <c r="D202" s="116" t="s">
        <v>291</v>
      </c>
      <c r="E202" s="116" t="s">
        <v>308</v>
      </c>
      <c r="F202" s="121">
        <v>18</v>
      </c>
      <c r="G202" s="118">
        <f>1</f>
        <v>1</v>
      </c>
      <c r="H202" s="119">
        <f t="shared" si="6"/>
        <v>18</v>
      </c>
      <c r="I202" s="120">
        <v>1.4112</v>
      </c>
      <c r="J202" s="120">
        <f t="shared" si="7"/>
        <v>1.4112</v>
      </c>
      <c r="K202" s="44" t="s">
        <v>507</v>
      </c>
      <c r="T202" s="4"/>
    </row>
    <row r="203" spans="1:20" ht="16.5" customHeight="1">
      <c r="A203" s="115">
        <v>2179</v>
      </c>
      <c r="B203" s="118" t="s">
        <v>423</v>
      </c>
      <c r="C203" s="116" t="s">
        <v>233</v>
      </c>
      <c r="D203" s="116" t="s">
        <v>291</v>
      </c>
      <c r="E203" s="116" t="s">
        <v>308</v>
      </c>
      <c r="F203" s="121">
        <v>18</v>
      </c>
      <c r="G203" s="118">
        <f>5</f>
        <v>5</v>
      </c>
      <c r="H203" s="119">
        <f t="shared" si="6"/>
        <v>90</v>
      </c>
      <c r="I203" s="120">
        <v>1.4112</v>
      </c>
      <c r="J203" s="120">
        <f t="shared" si="7"/>
        <v>7.056</v>
      </c>
      <c r="K203" s="44" t="s">
        <v>507</v>
      </c>
      <c r="T203" s="4"/>
    </row>
    <row r="204" spans="1:20" ht="16.5" customHeight="1">
      <c r="A204" s="115">
        <v>2205</v>
      </c>
      <c r="B204" s="118" t="s">
        <v>424</v>
      </c>
      <c r="C204" s="122" t="s">
        <v>233</v>
      </c>
      <c r="D204" s="122" t="s">
        <v>20</v>
      </c>
      <c r="E204" s="122" t="s">
        <v>425</v>
      </c>
      <c r="F204" s="121">
        <v>120</v>
      </c>
      <c r="G204" s="118">
        <v>1</v>
      </c>
      <c r="H204" s="119">
        <f t="shared" si="6"/>
        <v>120</v>
      </c>
      <c r="I204" s="120">
        <v>8.064</v>
      </c>
      <c r="J204" s="120">
        <f t="shared" si="7"/>
        <v>8.064</v>
      </c>
      <c r="K204" s="44" t="s">
        <v>507</v>
      </c>
      <c r="T204" s="4"/>
    </row>
    <row r="205" spans="1:20" ht="16.5" customHeight="1">
      <c r="A205" s="115">
        <v>2207</v>
      </c>
      <c r="B205" s="118" t="s">
        <v>426</v>
      </c>
      <c r="C205" s="122" t="s">
        <v>74</v>
      </c>
      <c r="D205" s="116" t="s">
        <v>427</v>
      </c>
      <c r="E205" s="116" t="s">
        <v>98</v>
      </c>
      <c r="F205" s="121">
        <v>0.01</v>
      </c>
      <c r="G205" s="118">
        <v>940</v>
      </c>
      <c r="H205" s="119">
        <f t="shared" si="6"/>
        <v>9.4</v>
      </c>
      <c r="I205" s="120">
        <v>0.0072</v>
      </c>
      <c r="J205" s="120">
        <f t="shared" si="7"/>
        <v>6.768</v>
      </c>
      <c r="K205" s="44" t="s">
        <v>507</v>
      </c>
      <c r="T205" s="4"/>
    </row>
    <row r="206" spans="1:20" ht="16.5" customHeight="1">
      <c r="A206" s="115">
        <v>2210</v>
      </c>
      <c r="B206" s="118" t="s">
        <v>428</v>
      </c>
      <c r="C206" s="122" t="s">
        <v>279</v>
      </c>
      <c r="D206" s="122" t="s">
        <v>392</v>
      </c>
      <c r="E206" s="118" t="s">
        <v>281</v>
      </c>
      <c r="F206" s="121">
        <v>30</v>
      </c>
      <c r="G206" s="118">
        <v>298</v>
      </c>
      <c r="H206" s="119">
        <f t="shared" si="6"/>
        <v>8940</v>
      </c>
      <c r="I206" s="120">
        <v>2.394</v>
      </c>
      <c r="J206" s="120">
        <f t="shared" si="7"/>
        <v>713.412</v>
      </c>
      <c r="K206" s="44" t="s">
        <v>507</v>
      </c>
      <c r="T206" s="4"/>
    </row>
    <row r="207" spans="1:20" ht="16.5" customHeight="1">
      <c r="A207" s="115">
        <v>2233</v>
      </c>
      <c r="B207" s="118" t="s">
        <v>429</v>
      </c>
      <c r="C207" s="116" t="s">
        <v>74</v>
      </c>
      <c r="D207" s="116" t="s">
        <v>430</v>
      </c>
      <c r="E207" s="118" t="s">
        <v>98</v>
      </c>
      <c r="F207" s="121">
        <v>34</v>
      </c>
      <c r="G207" s="118">
        <v>1</v>
      </c>
      <c r="H207" s="119">
        <f t="shared" si="6"/>
        <v>34</v>
      </c>
      <c r="I207" s="120">
        <v>2.7971999999999997</v>
      </c>
      <c r="J207" s="120">
        <f t="shared" si="7"/>
        <v>2.7971999999999997</v>
      </c>
      <c r="K207" s="44" t="s">
        <v>507</v>
      </c>
      <c r="T207" s="4"/>
    </row>
    <row r="208" spans="1:20" ht="16.5" customHeight="1">
      <c r="A208" s="115">
        <v>2305</v>
      </c>
      <c r="B208" s="118" t="s">
        <v>377</v>
      </c>
      <c r="C208" s="122" t="s">
        <v>233</v>
      </c>
      <c r="D208" s="116" t="s">
        <v>291</v>
      </c>
      <c r="E208" s="116" t="s">
        <v>431</v>
      </c>
      <c r="F208" s="121">
        <v>1.6</v>
      </c>
      <c r="G208" s="118">
        <v>129</v>
      </c>
      <c r="H208" s="119">
        <f t="shared" si="6"/>
        <v>206.4</v>
      </c>
      <c r="I208" s="120">
        <v>0.126</v>
      </c>
      <c r="J208" s="120">
        <f t="shared" si="7"/>
        <v>16.254</v>
      </c>
      <c r="K208" s="44" t="s">
        <v>507</v>
      </c>
      <c r="T208" s="4"/>
    </row>
    <row r="209" spans="1:20" s="3" customFormat="1" ht="16.5" customHeight="1">
      <c r="A209" s="115">
        <v>2306</v>
      </c>
      <c r="B209" s="118" t="s">
        <v>379</v>
      </c>
      <c r="C209" s="122" t="s">
        <v>233</v>
      </c>
      <c r="D209" s="116" t="s">
        <v>291</v>
      </c>
      <c r="E209" s="116" t="s">
        <v>431</v>
      </c>
      <c r="F209" s="121">
        <v>1.6</v>
      </c>
      <c r="G209" s="118">
        <v>127</v>
      </c>
      <c r="H209" s="119">
        <f t="shared" si="6"/>
        <v>203.20000000000002</v>
      </c>
      <c r="I209" s="120">
        <v>0.126</v>
      </c>
      <c r="J209" s="120">
        <f t="shared" si="7"/>
        <v>16.002</v>
      </c>
      <c r="K209" s="44" t="s">
        <v>507</v>
      </c>
      <c r="T209" s="4"/>
    </row>
    <row r="210" spans="1:20" s="3" customFormat="1" ht="16.5" customHeight="1">
      <c r="A210" s="115">
        <v>2307</v>
      </c>
      <c r="B210" s="118" t="s">
        <v>380</v>
      </c>
      <c r="C210" s="122" t="s">
        <v>233</v>
      </c>
      <c r="D210" s="116" t="s">
        <v>291</v>
      </c>
      <c r="E210" s="116" t="s">
        <v>431</v>
      </c>
      <c r="F210" s="121">
        <v>1.6</v>
      </c>
      <c r="G210" s="118">
        <v>81</v>
      </c>
      <c r="H210" s="119">
        <f t="shared" si="6"/>
        <v>129.6</v>
      </c>
      <c r="I210" s="120">
        <v>0.126</v>
      </c>
      <c r="J210" s="120">
        <f t="shared" si="7"/>
        <v>10.206</v>
      </c>
      <c r="K210" s="44" t="s">
        <v>507</v>
      </c>
      <c r="T210" s="4"/>
    </row>
    <row r="211" spans="1:20" s="3" customFormat="1" ht="16.5" customHeight="1">
      <c r="A211" s="115">
        <v>2309</v>
      </c>
      <c r="B211" s="118" t="s">
        <v>382</v>
      </c>
      <c r="C211" s="122" t="s">
        <v>233</v>
      </c>
      <c r="D211" s="116" t="s">
        <v>291</v>
      </c>
      <c r="E211" s="116" t="s">
        <v>431</v>
      </c>
      <c r="F211" s="121">
        <v>1.6</v>
      </c>
      <c r="G211" s="118">
        <v>125</v>
      </c>
      <c r="H211" s="119">
        <f t="shared" si="6"/>
        <v>200</v>
      </c>
      <c r="I211" s="120">
        <v>0.126</v>
      </c>
      <c r="J211" s="120">
        <f t="shared" si="7"/>
        <v>15.75</v>
      </c>
      <c r="K211" s="44" t="s">
        <v>507</v>
      </c>
      <c r="T211" s="4"/>
    </row>
    <row r="212" spans="1:20" s="3" customFormat="1" ht="16.5" customHeight="1">
      <c r="A212" s="115">
        <v>2311</v>
      </c>
      <c r="B212" s="118" t="s">
        <v>384</v>
      </c>
      <c r="C212" s="122" t="s">
        <v>233</v>
      </c>
      <c r="D212" s="116" t="s">
        <v>291</v>
      </c>
      <c r="E212" s="116" t="s">
        <v>431</v>
      </c>
      <c r="F212" s="121">
        <v>1.6</v>
      </c>
      <c r="G212" s="118">
        <v>45</v>
      </c>
      <c r="H212" s="119">
        <f t="shared" si="6"/>
        <v>72</v>
      </c>
      <c r="I212" s="120">
        <v>0.126</v>
      </c>
      <c r="J212" s="120">
        <f t="shared" si="7"/>
        <v>5.67</v>
      </c>
      <c r="K212" s="44" t="s">
        <v>507</v>
      </c>
      <c r="T212" s="4"/>
    </row>
    <row r="213" spans="1:20" s="3" customFormat="1" ht="16.5" customHeight="1">
      <c r="A213" s="115">
        <v>2313</v>
      </c>
      <c r="B213" s="118" t="s">
        <v>386</v>
      </c>
      <c r="C213" s="122" t="s">
        <v>233</v>
      </c>
      <c r="D213" s="116" t="s">
        <v>291</v>
      </c>
      <c r="E213" s="116" t="s">
        <v>431</v>
      </c>
      <c r="F213" s="121">
        <v>1.6</v>
      </c>
      <c r="G213" s="118">
        <v>142</v>
      </c>
      <c r="H213" s="119">
        <f t="shared" si="6"/>
        <v>227.20000000000002</v>
      </c>
      <c r="I213" s="120">
        <v>0.126</v>
      </c>
      <c r="J213" s="120">
        <f t="shared" si="7"/>
        <v>17.892</v>
      </c>
      <c r="K213" s="44" t="s">
        <v>507</v>
      </c>
      <c r="T213" s="4"/>
    </row>
    <row r="214" spans="1:20" s="3" customFormat="1" ht="16.5" customHeight="1">
      <c r="A214" s="115">
        <v>2314</v>
      </c>
      <c r="B214" s="118" t="s">
        <v>387</v>
      </c>
      <c r="C214" s="122" t="s">
        <v>233</v>
      </c>
      <c r="D214" s="116" t="s">
        <v>291</v>
      </c>
      <c r="E214" s="116" t="s">
        <v>431</v>
      </c>
      <c r="F214" s="121">
        <v>1.6</v>
      </c>
      <c r="G214" s="118">
        <v>132</v>
      </c>
      <c r="H214" s="119">
        <f t="shared" si="6"/>
        <v>211.20000000000002</v>
      </c>
      <c r="I214" s="120">
        <v>0.126</v>
      </c>
      <c r="J214" s="120">
        <f t="shared" si="7"/>
        <v>16.632</v>
      </c>
      <c r="K214" s="44" t="s">
        <v>507</v>
      </c>
      <c r="T214" s="4"/>
    </row>
    <row r="215" spans="1:20" s="3" customFormat="1" ht="16.5" customHeight="1">
      <c r="A215" s="115">
        <v>2315</v>
      </c>
      <c r="B215" s="118" t="s">
        <v>388</v>
      </c>
      <c r="C215" s="122" t="s">
        <v>233</v>
      </c>
      <c r="D215" s="116" t="s">
        <v>291</v>
      </c>
      <c r="E215" s="116" t="s">
        <v>431</v>
      </c>
      <c r="F215" s="121">
        <v>1.6</v>
      </c>
      <c r="G215" s="118">
        <v>70</v>
      </c>
      <c r="H215" s="119">
        <f t="shared" si="6"/>
        <v>112</v>
      </c>
      <c r="I215" s="120">
        <v>0.126</v>
      </c>
      <c r="J215" s="120">
        <f t="shared" si="7"/>
        <v>8.82</v>
      </c>
      <c r="K215" s="44" t="s">
        <v>507</v>
      </c>
      <c r="T215" s="4"/>
    </row>
    <row r="216" spans="1:20" s="3" customFormat="1" ht="16.5" customHeight="1">
      <c r="A216" s="115">
        <v>2316</v>
      </c>
      <c r="B216" s="118" t="s">
        <v>389</v>
      </c>
      <c r="C216" s="122" t="s">
        <v>233</v>
      </c>
      <c r="D216" s="116" t="s">
        <v>291</v>
      </c>
      <c r="E216" s="116" t="s">
        <v>431</v>
      </c>
      <c r="F216" s="121">
        <v>1.6</v>
      </c>
      <c r="G216" s="118">
        <v>91</v>
      </c>
      <c r="H216" s="119">
        <f t="shared" si="6"/>
        <v>145.6</v>
      </c>
      <c r="I216" s="120">
        <v>0.126</v>
      </c>
      <c r="J216" s="120">
        <f t="shared" si="7"/>
        <v>11.466</v>
      </c>
      <c r="K216" s="44" t="s">
        <v>507</v>
      </c>
      <c r="T216" s="4"/>
    </row>
    <row r="217" spans="1:20" s="3" customFormat="1" ht="16.5" customHeight="1">
      <c r="A217" s="115">
        <v>2317</v>
      </c>
      <c r="B217" s="118" t="s">
        <v>390</v>
      </c>
      <c r="C217" s="122" t="s">
        <v>233</v>
      </c>
      <c r="D217" s="116" t="s">
        <v>291</v>
      </c>
      <c r="E217" s="116" t="s">
        <v>431</v>
      </c>
      <c r="F217" s="121">
        <v>1.6</v>
      </c>
      <c r="G217" s="118">
        <v>107</v>
      </c>
      <c r="H217" s="119">
        <f t="shared" si="6"/>
        <v>171.20000000000002</v>
      </c>
      <c r="I217" s="120">
        <v>0.126</v>
      </c>
      <c r="J217" s="120">
        <f t="shared" si="7"/>
        <v>13.482</v>
      </c>
      <c r="K217" s="44" t="s">
        <v>507</v>
      </c>
      <c r="T217" s="4"/>
    </row>
    <row r="218" spans="1:20" s="3" customFormat="1" ht="16.5" customHeight="1">
      <c r="A218" s="115">
        <v>2321</v>
      </c>
      <c r="B218" s="118" t="s">
        <v>432</v>
      </c>
      <c r="C218" s="122" t="s">
        <v>279</v>
      </c>
      <c r="D218" s="118" t="s">
        <v>280</v>
      </c>
      <c r="E218" s="122" t="s">
        <v>281</v>
      </c>
      <c r="F218" s="121">
        <v>15.35</v>
      </c>
      <c r="G218" s="118">
        <f>31</f>
        <v>31</v>
      </c>
      <c r="H218" s="119">
        <f t="shared" si="6"/>
        <v>475.84999999999997</v>
      </c>
      <c r="I218" s="120">
        <v>1.134</v>
      </c>
      <c r="J218" s="120">
        <f t="shared" si="7"/>
        <v>35.153999999999996</v>
      </c>
      <c r="K218" s="107" t="s">
        <v>507</v>
      </c>
      <c r="T218" s="4"/>
    </row>
    <row r="219" spans="1:21" s="3" customFormat="1" ht="16.5" customHeight="1">
      <c r="A219" s="220" t="s">
        <v>433</v>
      </c>
      <c r="B219" s="221"/>
      <c r="C219" s="221"/>
      <c r="D219" s="110"/>
      <c r="E219" s="110"/>
      <c r="F219" s="109"/>
      <c r="G219" s="109"/>
      <c r="H219" s="109"/>
      <c r="I219" s="124"/>
      <c r="J219" s="43">
        <f>SUM(J9:J218)</f>
        <v>3503.5080399999993</v>
      </c>
      <c r="K219" s="43"/>
      <c r="L219" s="193"/>
      <c r="M219" s="193"/>
      <c r="U219" s="4"/>
    </row>
    <row r="220" spans="1:24" s="3" customFormat="1" ht="33" customHeight="1">
      <c r="A220" s="251" t="s">
        <v>434</v>
      </c>
      <c r="B220" s="252"/>
      <c r="C220" s="252"/>
      <c r="D220" s="252"/>
      <c r="E220" s="252"/>
      <c r="F220" s="252"/>
      <c r="G220" s="252"/>
      <c r="H220" s="252"/>
      <c r="I220" s="252"/>
      <c r="J220" s="252"/>
      <c r="K220" s="252"/>
      <c r="L220" s="253"/>
      <c r="M220" s="254"/>
      <c r="N220" s="255"/>
      <c r="X220" s="4"/>
    </row>
    <row r="221" spans="1:21" s="3" customFormat="1" ht="75.75" customHeight="1">
      <c r="A221" s="115"/>
      <c r="B221" s="112" t="s">
        <v>3</v>
      </c>
      <c r="C221" s="112" t="s">
        <v>435</v>
      </c>
      <c r="D221" s="112"/>
      <c r="E221" s="112"/>
      <c r="F221" s="113" t="s">
        <v>5</v>
      </c>
      <c r="G221" s="113" t="s">
        <v>6</v>
      </c>
      <c r="H221" s="112" t="s">
        <v>7</v>
      </c>
      <c r="I221" s="108" t="s">
        <v>8</v>
      </c>
      <c r="J221" s="108" t="s">
        <v>9</v>
      </c>
      <c r="K221" s="114" t="s">
        <v>505</v>
      </c>
      <c r="U221" s="4"/>
    </row>
    <row r="222" spans="1:21" s="3" customFormat="1" ht="16.5" customHeight="1">
      <c r="A222" s="115">
        <v>90002</v>
      </c>
      <c r="B222" s="118" t="s">
        <v>440</v>
      </c>
      <c r="C222" s="118" t="s">
        <v>437</v>
      </c>
      <c r="D222" s="118" t="s">
        <v>438</v>
      </c>
      <c r="E222" s="118" t="s">
        <v>439</v>
      </c>
      <c r="F222" s="121">
        <v>4</v>
      </c>
      <c r="G222" s="118">
        <v>58</v>
      </c>
      <c r="H222" s="119">
        <f aca="true" t="shared" si="8" ref="H222:H253">G222*F222</f>
        <v>232</v>
      </c>
      <c r="I222" s="124">
        <v>0.252</v>
      </c>
      <c r="J222" s="124">
        <f aca="true" t="shared" si="9" ref="J222:J253">G222*I222</f>
        <v>14.616</v>
      </c>
      <c r="K222" s="238" t="s">
        <v>506</v>
      </c>
      <c r="U222" s="4"/>
    </row>
    <row r="223" spans="1:21" s="3" customFormat="1" ht="16.5" customHeight="1">
      <c r="A223" s="115">
        <v>90003</v>
      </c>
      <c r="B223" s="118" t="s">
        <v>441</v>
      </c>
      <c r="C223" s="118" t="s">
        <v>437</v>
      </c>
      <c r="D223" s="118" t="s">
        <v>438</v>
      </c>
      <c r="E223" s="118" t="s">
        <v>439</v>
      </c>
      <c r="F223" s="121">
        <v>4</v>
      </c>
      <c r="G223" s="118">
        <v>61</v>
      </c>
      <c r="H223" s="119">
        <f t="shared" si="8"/>
        <v>244</v>
      </c>
      <c r="I223" s="124">
        <v>0.252</v>
      </c>
      <c r="J223" s="124">
        <f t="shared" si="9"/>
        <v>15.372</v>
      </c>
      <c r="K223" s="239"/>
      <c r="U223" s="4"/>
    </row>
    <row r="224" spans="1:21" s="3" customFormat="1" ht="16.5" customHeight="1">
      <c r="A224" s="115">
        <v>90022</v>
      </c>
      <c r="B224" s="118" t="s">
        <v>445</v>
      </c>
      <c r="C224" s="118" t="s">
        <v>437</v>
      </c>
      <c r="D224" s="118" t="s">
        <v>438</v>
      </c>
      <c r="E224" s="118" t="s">
        <v>439</v>
      </c>
      <c r="F224" s="121">
        <v>4</v>
      </c>
      <c r="G224" s="118">
        <v>168</v>
      </c>
      <c r="H224" s="119">
        <f t="shared" si="8"/>
        <v>672</v>
      </c>
      <c r="I224" s="124">
        <v>0.252</v>
      </c>
      <c r="J224" s="124">
        <f t="shared" si="9"/>
        <v>42.336</v>
      </c>
      <c r="K224" s="44" t="s">
        <v>507</v>
      </c>
      <c r="U224" s="4"/>
    </row>
    <row r="225" spans="1:21" ht="16.5" customHeight="1">
      <c r="A225" s="115">
        <v>90023</v>
      </c>
      <c r="B225" s="118" t="s">
        <v>446</v>
      </c>
      <c r="C225" s="118" t="s">
        <v>437</v>
      </c>
      <c r="D225" s="118" t="s">
        <v>438</v>
      </c>
      <c r="E225" s="118" t="s">
        <v>439</v>
      </c>
      <c r="F225" s="121">
        <v>4</v>
      </c>
      <c r="G225" s="118">
        <f>44</f>
        <v>44</v>
      </c>
      <c r="H225" s="119">
        <f t="shared" si="8"/>
        <v>176</v>
      </c>
      <c r="I225" s="124">
        <v>0.252</v>
      </c>
      <c r="J225" s="124">
        <f t="shared" si="9"/>
        <v>11.088000000000001</v>
      </c>
      <c r="K225" s="44" t="s">
        <v>507</v>
      </c>
      <c r="U225" s="4"/>
    </row>
    <row r="226" spans="1:21" ht="16.5" customHeight="1">
      <c r="A226" s="115">
        <v>90025</v>
      </c>
      <c r="B226" s="118" t="s">
        <v>448</v>
      </c>
      <c r="C226" s="118" t="s">
        <v>437</v>
      </c>
      <c r="D226" s="118" t="s">
        <v>438</v>
      </c>
      <c r="E226" s="118" t="s">
        <v>439</v>
      </c>
      <c r="F226" s="121">
        <v>3</v>
      </c>
      <c r="G226" s="118">
        <f>168</f>
        <v>168</v>
      </c>
      <c r="H226" s="119">
        <f t="shared" si="8"/>
        <v>504</v>
      </c>
      <c r="I226" s="124">
        <v>0.36</v>
      </c>
      <c r="J226" s="124">
        <f t="shared" si="9"/>
        <v>60.48</v>
      </c>
      <c r="K226" s="44" t="s">
        <v>507</v>
      </c>
      <c r="U226" s="4"/>
    </row>
    <row r="227" spans="1:21" ht="16.5" customHeight="1">
      <c r="A227" s="115">
        <v>90027</v>
      </c>
      <c r="B227" s="118" t="s">
        <v>449</v>
      </c>
      <c r="C227" s="118" t="s">
        <v>437</v>
      </c>
      <c r="D227" s="118" t="s">
        <v>450</v>
      </c>
      <c r="E227" s="118" t="s">
        <v>451</v>
      </c>
      <c r="F227" s="121">
        <v>2.01</v>
      </c>
      <c r="G227" s="118">
        <f>46</f>
        <v>46</v>
      </c>
      <c r="H227" s="119">
        <f t="shared" si="8"/>
        <v>92.46</v>
      </c>
      <c r="I227" s="124">
        <v>0.18</v>
      </c>
      <c r="J227" s="124">
        <f t="shared" si="9"/>
        <v>8.28</v>
      </c>
      <c r="K227" s="44" t="s">
        <v>507</v>
      </c>
      <c r="U227" s="4"/>
    </row>
    <row r="228" spans="1:21" ht="16.5" customHeight="1">
      <c r="A228" s="115">
        <v>90050</v>
      </c>
      <c r="B228" s="118" t="s">
        <v>457</v>
      </c>
      <c r="C228" s="118" t="s">
        <v>437</v>
      </c>
      <c r="D228" s="118" t="s">
        <v>443</v>
      </c>
      <c r="E228" s="118" t="s">
        <v>458</v>
      </c>
      <c r="F228" s="121">
        <v>1.96</v>
      </c>
      <c r="G228" s="118">
        <v>185</v>
      </c>
      <c r="H228" s="119">
        <f t="shared" si="8"/>
        <v>362.59999999999997</v>
      </c>
      <c r="I228" s="124">
        <v>0.1764</v>
      </c>
      <c r="J228" s="124">
        <f t="shared" si="9"/>
        <v>32.634</v>
      </c>
      <c r="K228" s="44" t="s">
        <v>507</v>
      </c>
      <c r="U228" s="4"/>
    </row>
    <row r="229" spans="1:21" ht="16.5" customHeight="1">
      <c r="A229" s="115">
        <v>90051</v>
      </c>
      <c r="B229" s="118" t="s">
        <v>459</v>
      </c>
      <c r="C229" s="118" t="s">
        <v>437</v>
      </c>
      <c r="D229" s="118" t="s">
        <v>443</v>
      </c>
      <c r="E229" s="118" t="s">
        <v>458</v>
      </c>
      <c r="F229" s="121">
        <v>1.96</v>
      </c>
      <c r="G229" s="118">
        <f>100</f>
        <v>100</v>
      </c>
      <c r="H229" s="119">
        <f t="shared" si="8"/>
        <v>196</v>
      </c>
      <c r="I229" s="124">
        <v>0.1764</v>
      </c>
      <c r="J229" s="124">
        <f t="shared" si="9"/>
        <v>17.64</v>
      </c>
      <c r="K229" s="44" t="s">
        <v>507</v>
      </c>
      <c r="U229" s="4"/>
    </row>
    <row r="230" spans="1:21" ht="16.5" customHeight="1">
      <c r="A230" s="115">
        <v>90052</v>
      </c>
      <c r="B230" s="118" t="s">
        <v>460</v>
      </c>
      <c r="C230" s="118" t="s">
        <v>437</v>
      </c>
      <c r="D230" s="118" t="s">
        <v>443</v>
      </c>
      <c r="E230" s="118" t="s">
        <v>458</v>
      </c>
      <c r="F230" s="121">
        <v>1.96</v>
      </c>
      <c r="G230" s="118">
        <v>664</v>
      </c>
      <c r="H230" s="119">
        <f t="shared" si="8"/>
        <v>1301.44</v>
      </c>
      <c r="I230" s="124">
        <v>0.1764</v>
      </c>
      <c r="J230" s="124">
        <f t="shared" si="9"/>
        <v>117.1296</v>
      </c>
      <c r="K230" s="44" t="s">
        <v>507</v>
      </c>
      <c r="U230" s="4"/>
    </row>
    <row r="231" spans="1:21" ht="16.5" customHeight="1">
      <c r="A231" s="115">
        <v>90053</v>
      </c>
      <c r="B231" s="118" t="s">
        <v>461</v>
      </c>
      <c r="C231" s="118" t="s">
        <v>437</v>
      </c>
      <c r="D231" s="118" t="s">
        <v>443</v>
      </c>
      <c r="E231" s="118" t="s">
        <v>458</v>
      </c>
      <c r="F231" s="121">
        <v>1.96</v>
      </c>
      <c r="G231" s="118">
        <v>200</v>
      </c>
      <c r="H231" s="119">
        <f t="shared" si="8"/>
        <v>392</v>
      </c>
      <c r="I231" s="124">
        <v>0.1764</v>
      </c>
      <c r="J231" s="124">
        <f t="shared" si="9"/>
        <v>35.28</v>
      </c>
      <c r="K231" s="44" t="s">
        <v>507</v>
      </c>
      <c r="U231" s="4"/>
    </row>
    <row r="232" spans="1:21" ht="16.5" customHeight="1">
      <c r="A232" s="115">
        <v>90054</v>
      </c>
      <c r="B232" s="118" t="s">
        <v>462</v>
      </c>
      <c r="C232" s="118" t="s">
        <v>437</v>
      </c>
      <c r="D232" s="118" t="s">
        <v>443</v>
      </c>
      <c r="E232" s="118" t="s">
        <v>458</v>
      </c>
      <c r="F232" s="121">
        <v>1.96</v>
      </c>
      <c r="G232" s="118">
        <v>280</v>
      </c>
      <c r="H232" s="119">
        <f t="shared" si="8"/>
        <v>548.8</v>
      </c>
      <c r="I232" s="124">
        <v>0.1764</v>
      </c>
      <c r="J232" s="124">
        <f t="shared" si="9"/>
        <v>49.392</v>
      </c>
      <c r="K232" s="44" t="s">
        <v>507</v>
      </c>
      <c r="U232" s="4"/>
    </row>
    <row r="233" spans="1:21" ht="16.5" customHeight="1">
      <c r="A233" s="115">
        <v>90079</v>
      </c>
      <c r="B233" s="118" t="s">
        <v>465</v>
      </c>
      <c r="C233" s="118" t="s">
        <v>437</v>
      </c>
      <c r="D233" s="118" t="s">
        <v>450</v>
      </c>
      <c r="E233" s="118" t="s">
        <v>466</v>
      </c>
      <c r="F233" s="121">
        <v>1.96</v>
      </c>
      <c r="G233" s="118">
        <v>10</v>
      </c>
      <c r="H233" s="119">
        <f t="shared" si="8"/>
        <v>19.6</v>
      </c>
      <c r="I233" s="124">
        <v>0.1764</v>
      </c>
      <c r="J233" s="124">
        <f t="shared" si="9"/>
        <v>1.764</v>
      </c>
      <c r="K233" s="44" t="s">
        <v>507</v>
      </c>
      <c r="U233" s="4"/>
    </row>
    <row r="234" spans="1:21" ht="16.5" customHeight="1">
      <c r="A234" s="115">
        <v>90083</v>
      </c>
      <c r="B234" s="118" t="s">
        <v>467</v>
      </c>
      <c r="C234" s="118" t="s">
        <v>437</v>
      </c>
      <c r="D234" s="118" t="s">
        <v>468</v>
      </c>
      <c r="E234" s="118" t="s">
        <v>469</v>
      </c>
      <c r="F234" s="121">
        <v>2.3</v>
      </c>
      <c r="G234" s="118">
        <v>43</v>
      </c>
      <c r="H234" s="119">
        <f t="shared" si="8"/>
        <v>98.89999999999999</v>
      </c>
      <c r="I234" s="124">
        <v>0.20160000000000003</v>
      </c>
      <c r="J234" s="124">
        <f t="shared" si="9"/>
        <v>8.668800000000001</v>
      </c>
      <c r="K234" s="44" t="s">
        <v>507</v>
      </c>
      <c r="U234" s="4"/>
    </row>
    <row r="235" spans="1:21" ht="16.5" customHeight="1">
      <c r="A235" s="115">
        <v>90092</v>
      </c>
      <c r="B235" s="118" t="s">
        <v>472</v>
      </c>
      <c r="C235" s="118" t="s">
        <v>437</v>
      </c>
      <c r="D235" s="118" t="s">
        <v>438</v>
      </c>
      <c r="E235" s="118" t="s">
        <v>473</v>
      </c>
      <c r="F235" s="121">
        <v>7.1</v>
      </c>
      <c r="G235" s="118">
        <v>33</v>
      </c>
      <c r="H235" s="119">
        <f t="shared" si="8"/>
        <v>234.29999999999998</v>
      </c>
      <c r="I235" s="124">
        <v>0.6047999999999999</v>
      </c>
      <c r="J235" s="124">
        <f t="shared" si="9"/>
        <v>19.958399999999997</v>
      </c>
      <c r="K235" s="44" t="s">
        <v>507</v>
      </c>
      <c r="U235" s="4"/>
    </row>
    <row r="236" spans="1:21" ht="16.5" customHeight="1">
      <c r="A236" s="115">
        <v>90094</v>
      </c>
      <c r="B236" s="118" t="s">
        <v>474</v>
      </c>
      <c r="C236" s="118" t="s">
        <v>437</v>
      </c>
      <c r="D236" s="118" t="s">
        <v>438</v>
      </c>
      <c r="E236" s="118" t="s">
        <v>473</v>
      </c>
      <c r="F236" s="121">
        <v>6.45</v>
      </c>
      <c r="G236" s="118">
        <v>17</v>
      </c>
      <c r="H236" s="119">
        <f t="shared" si="8"/>
        <v>109.65</v>
      </c>
      <c r="I236" s="124">
        <v>0.5795999999999999</v>
      </c>
      <c r="J236" s="124">
        <f t="shared" si="9"/>
        <v>9.853199999999998</v>
      </c>
      <c r="K236" s="44" t="s">
        <v>507</v>
      </c>
      <c r="U236" s="4"/>
    </row>
    <row r="237" spans="1:21" ht="16.5" customHeight="1">
      <c r="A237" s="115">
        <v>90128</v>
      </c>
      <c r="B237" s="118" t="s">
        <v>477</v>
      </c>
      <c r="C237" s="118" t="s">
        <v>478</v>
      </c>
      <c r="D237" s="118" t="s">
        <v>479</v>
      </c>
      <c r="E237" s="118" t="s">
        <v>480</v>
      </c>
      <c r="F237" s="121">
        <v>86</v>
      </c>
      <c r="G237" s="118">
        <f>1</f>
        <v>1</v>
      </c>
      <c r="H237" s="119">
        <f t="shared" si="8"/>
        <v>86</v>
      </c>
      <c r="I237" s="124">
        <v>6.048</v>
      </c>
      <c r="J237" s="124">
        <f t="shared" si="9"/>
        <v>6.048</v>
      </c>
      <c r="K237" s="44" t="s">
        <v>507</v>
      </c>
      <c r="U237" s="4"/>
    </row>
    <row r="238" spans="1:21" ht="16.5" customHeight="1">
      <c r="A238" s="115">
        <v>90130</v>
      </c>
      <c r="B238" s="118" t="s">
        <v>481</v>
      </c>
      <c r="C238" s="118" t="s">
        <v>478</v>
      </c>
      <c r="D238" s="118" t="s">
        <v>479</v>
      </c>
      <c r="E238" s="118" t="s">
        <v>482</v>
      </c>
      <c r="F238" s="121">
        <v>63</v>
      </c>
      <c r="G238" s="118">
        <f>9</f>
        <v>9</v>
      </c>
      <c r="H238" s="119">
        <f t="shared" si="8"/>
        <v>567</v>
      </c>
      <c r="I238" s="124">
        <v>4.788</v>
      </c>
      <c r="J238" s="124">
        <f t="shared" si="9"/>
        <v>43.092</v>
      </c>
      <c r="K238" s="44" t="s">
        <v>507</v>
      </c>
      <c r="U238" s="4"/>
    </row>
    <row r="239" spans="1:21" ht="16.5" customHeight="1">
      <c r="A239" s="115">
        <v>90132</v>
      </c>
      <c r="B239" s="118" t="s">
        <v>483</v>
      </c>
      <c r="C239" s="118" t="s">
        <v>478</v>
      </c>
      <c r="D239" s="118" t="s">
        <v>479</v>
      </c>
      <c r="E239" s="118" t="s">
        <v>484</v>
      </c>
      <c r="F239" s="121">
        <v>38</v>
      </c>
      <c r="G239" s="118">
        <f>18</f>
        <v>18</v>
      </c>
      <c r="H239" s="119">
        <f t="shared" si="8"/>
        <v>684</v>
      </c>
      <c r="I239" s="107">
        <v>3.0491999999999995</v>
      </c>
      <c r="J239" s="124">
        <f t="shared" si="9"/>
        <v>54.88559999999999</v>
      </c>
      <c r="K239" s="44" t="s">
        <v>507</v>
      </c>
      <c r="U239" s="4"/>
    </row>
    <row r="240" spans="1:21" ht="16.5" customHeight="1">
      <c r="A240" s="115">
        <v>90136</v>
      </c>
      <c r="B240" s="118" t="s">
        <v>485</v>
      </c>
      <c r="C240" s="118" t="s">
        <v>478</v>
      </c>
      <c r="D240" s="118" t="s">
        <v>479</v>
      </c>
      <c r="E240" s="118" t="s">
        <v>482</v>
      </c>
      <c r="F240" s="121">
        <v>62</v>
      </c>
      <c r="G240" s="118">
        <f>6</f>
        <v>6</v>
      </c>
      <c r="H240" s="119">
        <f t="shared" si="8"/>
        <v>372</v>
      </c>
      <c r="I240" s="124">
        <v>4.662</v>
      </c>
      <c r="J240" s="124">
        <f t="shared" si="9"/>
        <v>27.972</v>
      </c>
      <c r="K240" s="44" t="s">
        <v>507</v>
      </c>
      <c r="U240" s="4"/>
    </row>
    <row r="241" spans="1:21" ht="16.5" customHeight="1">
      <c r="A241" s="115">
        <v>90137</v>
      </c>
      <c r="B241" s="118" t="s">
        <v>486</v>
      </c>
      <c r="C241" s="118" t="s">
        <v>478</v>
      </c>
      <c r="D241" s="118" t="s">
        <v>479</v>
      </c>
      <c r="E241" s="118" t="s">
        <v>480</v>
      </c>
      <c r="F241" s="121">
        <v>24</v>
      </c>
      <c r="G241" s="118">
        <f>5</f>
        <v>5</v>
      </c>
      <c r="H241" s="119">
        <f t="shared" si="8"/>
        <v>120</v>
      </c>
      <c r="I241" s="124">
        <v>2.142</v>
      </c>
      <c r="J241" s="124">
        <f t="shared" si="9"/>
        <v>10.709999999999999</v>
      </c>
      <c r="K241" s="44" t="s">
        <v>507</v>
      </c>
      <c r="U241" s="4"/>
    </row>
    <row r="242" spans="1:21" ht="16.5" customHeight="1">
      <c r="A242" s="115">
        <v>90149</v>
      </c>
      <c r="B242" s="118" t="s">
        <v>487</v>
      </c>
      <c r="C242" s="118" t="s">
        <v>437</v>
      </c>
      <c r="D242" s="118" t="s">
        <v>438</v>
      </c>
      <c r="E242" s="118" t="s">
        <v>488</v>
      </c>
      <c r="F242" s="121">
        <v>6</v>
      </c>
      <c r="G242" s="118">
        <f>35</f>
        <v>35</v>
      </c>
      <c r="H242" s="119">
        <f t="shared" si="8"/>
        <v>210</v>
      </c>
      <c r="I242" s="124">
        <v>0.5292000000000001</v>
      </c>
      <c r="J242" s="124">
        <f t="shared" si="9"/>
        <v>18.522000000000006</v>
      </c>
      <c r="K242" s="44" t="s">
        <v>507</v>
      </c>
      <c r="U242" s="4"/>
    </row>
    <row r="243" spans="1:21" ht="16.5" customHeight="1">
      <c r="A243" s="115">
        <v>90150</v>
      </c>
      <c r="B243" s="118" t="s">
        <v>489</v>
      </c>
      <c r="C243" s="118" t="s">
        <v>437</v>
      </c>
      <c r="D243" s="118" t="s">
        <v>438</v>
      </c>
      <c r="E243" s="118" t="s">
        <v>488</v>
      </c>
      <c r="F243" s="121">
        <v>6</v>
      </c>
      <c r="G243" s="118">
        <v>15</v>
      </c>
      <c r="H243" s="119">
        <f t="shared" si="8"/>
        <v>90</v>
      </c>
      <c r="I243" s="124">
        <v>0.5292000000000001</v>
      </c>
      <c r="J243" s="124">
        <f t="shared" si="9"/>
        <v>7.9380000000000015</v>
      </c>
      <c r="K243" s="44" t="s">
        <v>507</v>
      </c>
      <c r="U243" s="4"/>
    </row>
    <row r="244" spans="1:21" ht="16.5" customHeight="1">
      <c r="A244" s="115">
        <v>90151</v>
      </c>
      <c r="B244" s="118" t="s">
        <v>490</v>
      </c>
      <c r="C244" s="118" t="s">
        <v>478</v>
      </c>
      <c r="D244" s="118" t="s">
        <v>479</v>
      </c>
      <c r="E244" s="118" t="s">
        <v>480</v>
      </c>
      <c r="F244" s="121">
        <v>16.9</v>
      </c>
      <c r="G244" s="118">
        <f>35</f>
        <v>35</v>
      </c>
      <c r="H244" s="119">
        <f t="shared" si="8"/>
        <v>591.5</v>
      </c>
      <c r="I244" s="124">
        <v>1.4615999999999998</v>
      </c>
      <c r="J244" s="124">
        <f t="shared" si="9"/>
        <v>51.15599999999999</v>
      </c>
      <c r="K244" s="44" t="s">
        <v>507</v>
      </c>
      <c r="U244" s="4"/>
    </row>
    <row r="245" spans="1:21" ht="16.5" customHeight="1">
      <c r="A245" s="115">
        <v>90208</v>
      </c>
      <c r="B245" s="118" t="s">
        <v>491</v>
      </c>
      <c r="C245" s="118" t="s">
        <v>478</v>
      </c>
      <c r="D245" s="118" t="s">
        <v>492</v>
      </c>
      <c r="E245" s="118" t="s">
        <v>493</v>
      </c>
      <c r="F245" s="121">
        <v>3.9</v>
      </c>
      <c r="G245" s="118">
        <f>45</f>
        <v>45</v>
      </c>
      <c r="H245" s="119">
        <f t="shared" si="8"/>
        <v>175.5</v>
      </c>
      <c r="I245" s="124">
        <v>0.3276</v>
      </c>
      <c r="J245" s="124">
        <f t="shared" si="9"/>
        <v>14.742</v>
      </c>
      <c r="K245" s="44" t="s">
        <v>507</v>
      </c>
      <c r="U245" s="4"/>
    </row>
    <row r="246" spans="1:21" ht="16.5" customHeight="1">
      <c r="A246" s="115">
        <v>90209</v>
      </c>
      <c r="B246" s="118" t="s">
        <v>494</v>
      </c>
      <c r="C246" s="118" t="s">
        <v>478</v>
      </c>
      <c r="D246" s="118" t="s">
        <v>492</v>
      </c>
      <c r="E246" s="118" t="s">
        <v>493</v>
      </c>
      <c r="F246" s="121">
        <v>8.2</v>
      </c>
      <c r="G246" s="118">
        <f>87</f>
        <v>87</v>
      </c>
      <c r="H246" s="119">
        <f t="shared" si="8"/>
        <v>713.4</v>
      </c>
      <c r="I246" s="124">
        <v>0.7056</v>
      </c>
      <c r="J246" s="124">
        <f t="shared" si="9"/>
        <v>61.3872</v>
      </c>
      <c r="K246" s="44" t="s">
        <v>507</v>
      </c>
      <c r="U246" s="4"/>
    </row>
    <row r="247" spans="1:21" ht="16.5" customHeight="1">
      <c r="A247" s="115">
        <v>90240</v>
      </c>
      <c r="B247" s="118" t="s">
        <v>495</v>
      </c>
      <c r="C247" s="118" t="s">
        <v>496</v>
      </c>
      <c r="D247" s="118" t="s">
        <v>497</v>
      </c>
      <c r="E247" s="118" t="s">
        <v>498</v>
      </c>
      <c r="F247" s="121">
        <v>18</v>
      </c>
      <c r="G247" s="118">
        <f>24+60</f>
        <v>84</v>
      </c>
      <c r="H247" s="119">
        <f t="shared" si="8"/>
        <v>1512</v>
      </c>
      <c r="I247" s="124">
        <v>1.5371999999999997</v>
      </c>
      <c r="J247" s="124">
        <f t="shared" si="9"/>
        <v>129.12479999999996</v>
      </c>
      <c r="K247" s="44" t="s">
        <v>507</v>
      </c>
      <c r="U247" s="4"/>
    </row>
    <row r="248" spans="1:21" ht="16.5" customHeight="1">
      <c r="A248" s="115">
        <v>90241</v>
      </c>
      <c r="B248" s="118" t="s">
        <v>499</v>
      </c>
      <c r="C248" s="118" t="s">
        <v>496</v>
      </c>
      <c r="D248" s="118" t="s">
        <v>497</v>
      </c>
      <c r="E248" s="118" t="s">
        <v>498</v>
      </c>
      <c r="F248" s="121">
        <v>35</v>
      </c>
      <c r="G248" s="118">
        <f>56</f>
        <v>56</v>
      </c>
      <c r="H248" s="119">
        <f t="shared" si="8"/>
        <v>1960</v>
      </c>
      <c r="I248" s="124">
        <v>2.898</v>
      </c>
      <c r="J248" s="124">
        <f t="shared" si="9"/>
        <v>162.288</v>
      </c>
      <c r="K248" s="44" t="s">
        <v>507</v>
      </c>
      <c r="U248" s="4"/>
    </row>
    <row r="249" spans="1:21" ht="16.5" customHeight="1">
      <c r="A249" s="115">
        <v>90242</v>
      </c>
      <c r="B249" s="118" t="s">
        <v>500</v>
      </c>
      <c r="C249" s="118" t="s">
        <v>478</v>
      </c>
      <c r="D249" s="118" t="s">
        <v>479</v>
      </c>
      <c r="E249" s="118" t="s">
        <v>480</v>
      </c>
      <c r="F249" s="121">
        <v>17</v>
      </c>
      <c r="G249" s="118">
        <v>106</v>
      </c>
      <c r="H249" s="119">
        <f t="shared" si="8"/>
        <v>1802</v>
      </c>
      <c r="I249" s="124">
        <v>1.4112</v>
      </c>
      <c r="J249" s="124">
        <f t="shared" si="9"/>
        <v>149.5872</v>
      </c>
      <c r="K249" s="44" t="s">
        <v>507</v>
      </c>
      <c r="U249" s="4"/>
    </row>
    <row r="250" spans="1:21" ht="16.5" customHeight="1">
      <c r="A250" s="115">
        <v>90774</v>
      </c>
      <c r="B250" s="118" t="s">
        <v>104</v>
      </c>
      <c r="C250" s="118" t="s">
        <v>437</v>
      </c>
      <c r="D250" s="118" t="s">
        <v>438</v>
      </c>
      <c r="E250" s="118" t="s">
        <v>473</v>
      </c>
      <c r="F250" s="121">
        <v>7.75</v>
      </c>
      <c r="G250" s="118">
        <v>58</v>
      </c>
      <c r="H250" s="119">
        <f t="shared" si="8"/>
        <v>449.5</v>
      </c>
      <c r="I250" s="124">
        <v>0.5544</v>
      </c>
      <c r="J250" s="124">
        <f t="shared" si="9"/>
        <v>32.1552</v>
      </c>
      <c r="K250" s="44" t="s">
        <v>507</v>
      </c>
      <c r="U250" s="4"/>
    </row>
    <row r="251" spans="1:21" ht="16.5" customHeight="1">
      <c r="A251" s="115">
        <v>9268</v>
      </c>
      <c r="B251" s="118" t="s">
        <v>105</v>
      </c>
      <c r="C251" s="118" t="s">
        <v>437</v>
      </c>
      <c r="D251" s="118" t="s">
        <v>438</v>
      </c>
      <c r="E251" s="118" t="s">
        <v>473</v>
      </c>
      <c r="F251" s="121">
        <v>6.4</v>
      </c>
      <c r="G251" s="118">
        <v>21</v>
      </c>
      <c r="H251" s="119">
        <f t="shared" si="8"/>
        <v>134.4</v>
      </c>
      <c r="I251" s="124">
        <v>0.5292000000000001</v>
      </c>
      <c r="J251" s="124">
        <f t="shared" si="9"/>
        <v>11.113200000000003</v>
      </c>
      <c r="K251" s="44" t="s">
        <v>507</v>
      </c>
      <c r="U251" s="4"/>
    </row>
    <row r="252" spans="1:21" ht="16.5" customHeight="1">
      <c r="A252" s="115">
        <v>90272</v>
      </c>
      <c r="B252" s="118" t="s">
        <v>106</v>
      </c>
      <c r="C252" s="118" t="s">
        <v>478</v>
      </c>
      <c r="D252" s="118" t="s">
        <v>479</v>
      </c>
      <c r="E252" s="118" t="s">
        <v>480</v>
      </c>
      <c r="F252" s="121">
        <v>16.9</v>
      </c>
      <c r="G252" s="118">
        <v>40</v>
      </c>
      <c r="H252" s="119">
        <f t="shared" si="8"/>
        <v>676</v>
      </c>
      <c r="I252" s="124">
        <v>1.4615999999999998</v>
      </c>
      <c r="J252" s="124">
        <f t="shared" si="9"/>
        <v>58.46399999999999</v>
      </c>
      <c r="K252" s="44" t="s">
        <v>507</v>
      </c>
      <c r="U252" s="4"/>
    </row>
    <row r="253" spans="1:21" ht="16.5" customHeight="1">
      <c r="A253" s="115">
        <v>90273</v>
      </c>
      <c r="B253" s="118" t="s">
        <v>107</v>
      </c>
      <c r="C253" s="118" t="s">
        <v>478</v>
      </c>
      <c r="D253" s="118" t="s">
        <v>479</v>
      </c>
      <c r="E253" s="118" t="s">
        <v>480</v>
      </c>
      <c r="F253" s="121">
        <v>16.9</v>
      </c>
      <c r="G253" s="118">
        <f>50</f>
        <v>50</v>
      </c>
      <c r="H253" s="119">
        <f t="shared" si="8"/>
        <v>844.9999999999999</v>
      </c>
      <c r="I253" s="124">
        <v>1.4615999999999998</v>
      </c>
      <c r="J253" s="124">
        <f t="shared" si="9"/>
        <v>73.07999999999998</v>
      </c>
      <c r="K253" s="44" t="s">
        <v>507</v>
      </c>
      <c r="U253" s="4"/>
    </row>
    <row r="254" spans="1:21" ht="16.5" customHeight="1">
      <c r="A254" s="115">
        <v>90310</v>
      </c>
      <c r="B254" s="118" t="s">
        <v>114</v>
      </c>
      <c r="C254" s="118" t="s">
        <v>109</v>
      </c>
      <c r="D254" s="118" t="s">
        <v>110</v>
      </c>
      <c r="E254" s="118" t="s">
        <v>111</v>
      </c>
      <c r="F254" s="121">
        <v>29</v>
      </c>
      <c r="G254" s="118">
        <f>5-2</f>
        <v>3</v>
      </c>
      <c r="H254" s="119">
        <f aca="true" t="shared" si="10" ref="H254:H284">G254*F254</f>
        <v>87</v>
      </c>
      <c r="I254" s="124">
        <v>2.5164000000000004</v>
      </c>
      <c r="J254" s="124">
        <f aca="true" t="shared" si="11" ref="J254:J284">G254*I254</f>
        <v>7.549200000000001</v>
      </c>
      <c r="K254" s="44" t="s">
        <v>507</v>
      </c>
      <c r="U254" s="4"/>
    </row>
    <row r="255" spans="1:21" ht="16.5" customHeight="1">
      <c r="A255" s="115">
        <v>90321</v>
      </c>
      <c r="B255" s="118" t="s">
        <v>118</v>
      </c>
      <c r="C255" s="118" t="s">
        <v>109</v>
      </c>
      <c r="D255" s="118" t="s">
        <v>110</v>
      </c>
      <c r="E255" s="118" t="s">
        <v>111</v>
      </c>
      <c r="F255" s="121">
        <v>26.3</v>
      </c>
      <c r="G255" s="118">
        <f>56-2</f>
        <v>54</v>
      </c>
      <c r="H255" s="119">
        <f t="shared" si="10"/>
        <v>1420.2</v>
      </c>
      <c r="I255" s="124">
        <v>2.2931999999999997</v>
      </c>
      <c r="J255" s="124">
        <f t="shared" si="11"/>
        <v>123.83279999999998</v>
      </c>
      <c r="K255" s="44" t="s">
        <v>507</v>
      </c>
      <c r="U255" s="4"/>
    </row>
    <row r="256" spans="1:21" ht="16.5" customHeight="1">
      <c r="A256" s="115">
        <v>90324</v>
      </c>
      <c r="B256" s="118" t="s">
        <v>119</v>
      </c>
      <c r="C256" s="118" t="s">
        <v>109</v>
      </c>
      <c r="D256" s="118" t="s">
        <v>110</v>
      </c>
      <c r="E256" s="118" t="s">
        <v>116</v>
      </c>
      <c r="F256" s="121">
        <v>45.55</v>
      </c>
      <c r="G256" s="118">
        <f>30-2</f>
        <v>28</v>
      </c>
      <c r="H256" s="119">
        <f t="shared" si="10"/>
        <v>1275.3999999999999</v>
      </c>
      <c r="I256" s="124">
        <v>3.5784</v>
      </c>
      <c r="J256" s="124">
        <f t="shared" si="11"/>
        <v>100.1952</v>
      </c>
      <c r="K256" s="44" t="s">
        <v>507</v>
      </c>
      <c r="U256" s="4"/>
    </row>
    <row r="257" spans="1:21" ht="16.5" customHeight="1">
      <c r="A257" s="115">
        <v>90329</v>
      </c>
      <c r="B257" s="118" t="s">
        <v>120</v>
      </c>
      <c r="C257" s="118" t="s">
        <v>109</v>
      </c>
      <c r="D257" s="118" t="s">
        <v>110</v>
      </c>
      <c r="E257" s="118" t="s">
        <v>111</v>
      </c>
      <c r="F257" s="121">
        <v>40.19</v>
      </c>
      <c r="G257" s="118">
        <f>135-2</f>
        <v>133</v>
      </c>
      <c r="H257" s="119">
        <f t="shared" si="10"/>
        <v>5345.2699999999995</v>
      </c>
      <c r="I257" s="124">
        <v>3.0491999999999995</v>
      </c>
      <c r="J257" s="124">
        <f t="shared" si="11"/>
        <v>405.5435999999999</v>
      </c>
      <c r="K257" s="44" t="s">
        <v>507</v>
      </c>
      <c r="U257" s="4"/>
    </row>
    <row r="258" spans="1:21" ht="16.5" customHeight="1">
      <c r="A258" s="115">
        <v>90330</v>
      </c>
      <c r="B258" s="118" t="s">
        <v>120</v>
      </c>
      <c r="C258" s="118" t="s">
        <v>109</v>
      </c>
      <c r="D258" s="118" t="s">
        <v>110</v>
      </c>
      <c r="E258" s="118" t="s">
        <v>121</v>
      </c>
      <c r="F258" s="121">
        <v>40.19</v>
      </c>
      <c r="G258" s="118">
        <f>98-2</f>
        <v>96</v>
      </c>
      <c r="H258" s="119">
        <f t="shared" si="10"/>
        <v>3858.24</v>
      </c>
      <c r="I258" s="124">
        <v>3.0491999999999995</v>
      </c>
      <c r="J258" s="124">
        <f t="shared" si="11"/>
        <v>292.72319999999996</v>
      </c>
      <c r="K258" s="44" t="s">
        <v>507</v>
      </c>
      <c r="U258" s="4"/>
    </row>
    <row r="259" spans="1:21" ht="16.5" customHeight="1">
      <c r="A259" s="115">
        <v>90337</v>
      </c>
      <c r="B259" s="118" t="s">
        <v>122</v>
      </c>
      <c r="C259" s="118" t="s">
        <v>109</v>
      </c>
      <c r="D259" s="118" t="s">
        <v>110</v>
      </c>
      <c r="E259" s="118" t="s">
        <v>123</v>
      </c>
      <c r="F259" s="121">
        <v>17.23</v>
      </c>
      <c r="G259" s="118">
        <f>5*6</f>
        <v>30</v>
      </c>
      <c r="H259" s="119">
        <f t="shared" si="10"/>
        <v>516.9</v>
      </c>
      <c r="I259" s="124">
        <v>1.3104</v>
      </c>
      <c r="J259" s="124">
        <f t="shared" si="11"/>
        <v>39.312</v>
      </c>
      <c r="K259" s="44" t="s">
        <v>507</v>
      </c>
      <c r="U259" s="4"/>
    </row>
    <row r="260" spans="1:21" ht="16.5" customHeight="1">
      <c r="A260" s="115">
        <v>90339</v>
      </c>
      <c r="B260" s="118" t="s">
        <v>124</v>
      </c>
      <c r="C260" s="118" t="s">
        <v>109</v>
      </c>
      <c r="D260" s="118" t="s">
        <v>110</v>
      </c>
      <c r="E260" s="118" t="s">
        <v>111</v>
      </c>
      <c r="F260" s="121">
        <v>28.71</v>
      </c>
      <c r="G260" s="118">
        <v>55</v>
      </c>
      <c r="H260" s="119">
        <f t="shared" si="10"/>
        <v>1579.05</v>
      </c>
      <c r="I260" s="124">
        <v>2.5704</v>
      </c>
      <c r="J260" s="124">
        <f t="shared" si="11"/>
        <v>141.37199999999999</v>
      </c>
      <c r="K260" s="44" t="s">
        <v>507</v>
      </c>
      <c r="U260" s="4"/>
    </row>
    <row r="261" spans="1:21" ht="16.5" customHeight="1">
      <c r="A261" s="115">
        <v>90349</v>
      </c>
      <c r="B261" s="118" t="s">
        <v>128</v>
      </c>
      <c r="C261" s="118" t="s">
        <v>478</v>
      </c>
      <c r="D261" s="118" t="s">
        <v>479</v>
      </c>
      <c r="E261" s="118" t="s">
        <v>484</v>
      </c>
      <c r="F261" s="121">
        <v>49</v>
      </c>
      <c r="G261" s="118">
        <f>4</f>
        <v>4</v>
      </c>
      <c r="H261" s="119">
        <f t="shared" si="10"/>
        <v>196</v>
      </c>
      <c r="I261" s="124">
        <v>4.41</v>
      </c>
      <c r="J261" s="124">
        <f t="shared" si="11"/>
        <v>17.64</v>
      </c>
      <c r="K261" s="44" t="s">
        <v>507</v>
      </c>
      <c r="U261" s="4"/>
    </row>
    <row r="262" spans="1:21" ht="16.5" customHeight="1">
      <c r="A262" s="115">
        <v>90410</v>
      </c>
      <c r="B262" s="118" t="s">
        <v>129</v>
      </c>
      <c r="C262" s="118" t="s">
        <v>109</v>
      </c>
      <c r="D262" s="126" t="s">
        <v>359</v>
      </c>
      <c r="E262" s="126" t="s">
        <v>111</v>
      </c>
      <c r="F262" s="121">
        <v>6.88</v>
      </c>
      <c r="G262" s="118">
        <v>153</v>
      </c>
      <c r="H262" s="119">
        <f t="shared" si="10"/>
        <v>1052.6399999999999</v>
      </c>
      <c r="I262" s="124">
        <v>0.5544</v>
      </c>
      <c r="J262" s="124">
        <f t="shared" si="11"/>
        <v>84.8232</v>
      </c>
      <c r="K262" s="44" t="s">
        <v>507</v>
      </c>
      <c r="U262" s="4"/>
    </row>
    <row r="263" spans="1:21" ht="16.5" customHeight="1">
      <c r="A263" s="115">
        <v>90474</v>
      </c>
      <c r="B263" s="118" t="s">
        <v>132</v>
      </c>
      <c r="C263" s="118" t="s">
        <v>437</v>
      </c>
      <c r="D263" s="118" t="s">
        <v>450</v>
      </c>
      <c r="E263" s="126" t="s">
        <v>133</v>
      </c>
      <c r="F263" s="121">
        <v>27.5</v>
      </c>
      <c r="G263" s="118">
        <f>2</f>
        <v>2</v>
      </c>
      <c r="H263" s="119">
        <f t="shared" si="10"/>
        <v>55</v>
      </c>
      <c r="I263" s="124">
        <v>2.4191999999999996</v>
      </c>
      <c r="J263" s="124">
        <f t="shared" si="11"/>
        <v>4.838399999999999</v>
      </c>
      <c r="K263" s="44" t="s">
        <v>507</v>
      </c>
      <c r="U263" s="4"/>
    </row>
    <row r="264" spans="1:21" ht="16.5" customHeight="1">
      <c r="A264" s="115">
        <v>90534</v>
      </c>
      <c r="B264" s="118" t="s">
        <v>140</v>
      </c>
      <c r="C264" s="118" t="s">
        <v>437</v>
      </c>
      <c r="D264" s="126" t="s">
        <v>438</v>
      </c>
      <c r="E264" s="126" t="s">
        <v>141</v>
      </c>
      <c r="F264" s="121">
        <v>3.14</v>
      </c>
      <c r="G264" s="118">
        <f>51+39</f>
        <v>90</v>
      </c>
      <c r="H264" s="119">
        <f t="shared" si="10"/>
        <v>282.6</v>
      </c>
      <c r="I264" s="124">
        <v>0.2772</v>
      </c>
      <c r="J264" s="124">
        <f t="shared" si="11"/>
        <v>24.948</v>
      </c>
      <c r="K264" s="44" t="s">
        <v>507</v>
      </c>
      <c r="U264" s="4"/>
    </row>
    <row r="265" spans="1:21" ht="16.5" customHeight="1">
      <c r="A265" s="115">
        <v>90536</v>
      </c>
      <c r="B265" s="118" t="s">
        <v>142</v>
      </c>
      <c r="C265" s="118" t="s">
        <v>437</v>
      </c>
      <c r="D265" s="126" t="s">
        <v>438</v>
      </c>
      <c r="E265" s="126" t="s">
        <v>143</v>
      </c>
      <c r="F265" s="121">
        <v>11.29</v>
      </c>
      <c r="G265" s="118">
        <f>241-8</f>
        <v>233</v>
      </c>
      <c r="H265" s="119">
        <f t="shared" si="10"/>
        <v>2630.5699999999997</v>
      </c>
      <c r="I265" s="124">
        <v>0.9828000000000001</v>
      </c>
      <c r="J265" s="124">
        <f t="shared" si="11"/>
        <v>228.99240000000003</v>
      </c>
      <c r="K265" s="44" t="s">
        <v>507</v>
      </c>
      <c r="U265" s="4"/>
    </row>
    <row r="266" spans="1:21" ht="16.5" customHeight="1">
      <c r="A266" s="115">
        <v>90537</v>
      </c>
      <c r="B266" s="118" t="s">
        <v>144</v>
      </c>
      <c r="C266" s="118" t="s">
        <v>437</v>
      </c>
      <c r="D266" s="126" t="s">
        <v>438</v>
      </c>
      <c r="E266" s="126"/>
      <c r="F266" s="121">
        <v>11.83</v>
      </c>
      <c r="G266" s="118">
        <v>332</v>
      </c>
      <c r="H266" s="119">
        <f t="shared" si="10"/>
        <v>3927.56</v>
      </c>
      <c r="I266" s="124">
        <v>1.0332000000000001</v>
      </c>
      <c r="J266" s="124">
        <f t="shared" si="11"/>
        <v>343.02240000000006</v>
      </c>
      <c r="K266" s="44" t="s">
        <v>507</v>
      </c>
      <c r="U266" s="4"/>
    </row>
    <row r="267" spans="1:21" ht="16.5" customHeight="1">
      <c r="A267" s="115">
        <v>90547</v>
      </c>
      <c r="B267" s="118" t="s">
        <v>145</v>
      </c>
      <c r="C267" s="118" t="s">
        <v>478</v>
      </c>
      <c r="D267" s="126" t="s">
        <v>438</v>
      </c>
      <c r="E267" s="126" t="s">
        <v>488</v>
      </c>
      <c r="F267" s="121">
        <v>39</v>
      </c>
      <c r="G267" s="118">
        <f>15</f>
        <v>15</v>
      </c>
      <c r="H267" s="119">
        <f t="shared" si="10"/>
        <v>585</v>
      </c>
      <c r="I267" s="124">
        <v>3.3264</v>
      </c>
      <c r="J267" s="124">
        <f t="shared" si="11"/>
        <v>49.896</v>
      </c>
      <c r="K267" s="44" t="s">
        <v>507</v>
      </c>
      <c r="U267" s="4"/>
    </row>
    <row r="268" spans="1:21" ht="16.5" customHeight="1">
      <c r="A268" s="115">
        <v>90548</v>
      </c>
      <c r="B268" s="118" t="s">
        <v>146</v>
      </c>
      <c r="C268" s="118" t="s">
        <v>478</v>
      </c>
      <c r="D268" s="126" t="s">
        <v>438</v>
      </c>
      <c r="E268" s="126" t="s">
        <v>488</v>
      </c>
      <c r="F268" s="121">
        <v>45</v>
      </c>
      <c r="G268" s="118">
        <f>33</f>
        <v>33</v>
      </c>
      <c r="H268" s="119">
        <f t="shared" si="10"/>
        <v>1485</v>
      </c>
      <c r="I268" s="124">
        <v>3.9059999999999997</v>
      </c>
      <c r="J268" s="124">
        <f t="shared" si="11"/>
        <v>128.898</v>
      </c>
      <c r="K268" s="44" t="s">
        <v>507</v>
      </c>
      <c r="U268" s="4"/>
    </row>
    <row r="269" spans="1:21" ht="16.5" customHeight="1">
      <c r="A269" s="115">
        <v>90567</v>
      </c>
      <c r="B269" s="118" t="s">
        <v>147</v>
      </c>
      <c r="C269" s="118" t="s">
        <v>138</v>
      </c>
      <c r="D269" s="126" t="s">
        <v>139</v>
      </c>
      <c r="E269" s="126" t="s">
        <v>111</v>
      </c>
      <c r="F269" s="121">
        <v>3.14</v>
      </c>
      <c r="G269" s="118">
        <v>1368</v>
      </c>
      <c r="H269" s="119">
        <f t="shared" si="10"/>
        <v>4295.52</v>
      </c>
      <c r="I269" s="124">
        <v>0.2772</v>
      </c>
      <c r="J269" s="124">
        <f t="shared" si="11"/>
        <v>379.2096</v>
      </c>
      <c r="K269" s="44" t="s">
        <v>507</v>
      </c>
      <c r="U269" s="4"/>
    </row>
    <row r="270" spans="1:21" ht="16.5" customHeight="1">
      <c r="A270" s="115">
        <v>90639</v>
      </c>
      <c r="B270" s="118" t="s">
        <v>148</v>
      </c>
      <c r="C270" s="118" t="s">
        <v>478</v>
      </c>
      <c r="D270" s="126" t="s">
        <v>438</v>
      </c>
      <c r="E270" s="126" t="s">
        <v>149</v>
      </c>
      <c r="F270" s="121">
        <v>12</v>
      </c>
      <c r="G270" s="118">
        <f>9</f>
        <v>9</v>
      </c>
      <c r="H270" s="119">
        <f t="shared" si="10"/>
        <v>108</v>
      </c>
      <c r="I270" s="124">
        <v>1.0332000000000001</v>
      </c>
      <c r="J270" s="124">
        <f t="shared" si="11"/>
        <v>9.298800000000002</v>
      </c>
      <c r="K270" s="44" t="s">
        <v>507</v>
      </c>
      <c r="U270" s="4"/>
    </row>
    <row r="271" spans="1:21" ht="16.5" customHeight="1">
      <c r="A271" s="115">
        <v>90640</v>
      </c>
      <c r="B271" s="118" t="s">
        <v>150</v>
      </c>
      <c r="C271" s="118" t="s">
        <v>478</v>
      </c>
      <c r="D271" s="126" t="s">
        <v>438</v>
      </c>
      <c r="E271" s="126" t="s">
        <v>149</v>
      </c>
      <c r="F271" s="121">
        <v>14</v>
      </c>
      <c r="G271" s="118">
        <v>28</v>
      </c>
      <c r="H271" s="119">
        <f t="shared" si="10"/>
        <v>392</v>
      </c>
      <c r="I271" s="124">
        <v>1.0584000000000002</v>
      </c>
      <c r="J271" s="124">
        <f t="shared" si="11"/>
        <v>29.635200000000005</v>
      </c>
      <c r="K271" s="44" t="s">
        <v>507</v>
      </c>
      <c r="U271" s="4"/>
    </row>
    <row r="272" spans="1:21" ht="16.5" customHeight="1">
      <c r="A272" s="115">
        <v>90641</v>
      </c>
      <c r="B272" s="118" t="s">
        <v>151</v>
      </c>
      <c r="C272" s="118" t="s">
        <v>478</v>
      </c>
      <c r="D272" s="126" t="s">
        <v>438</v>
      </c>
      <c r="E272" s="126" t="s">
        <v>149</v>
      </c>
      <c r="F272" s="121">
        <v>12</v>
      </c>
      <c r="G272" s="118">
        <v>35</v>
      </c>
      <c r="H272" s="119">
        <f t="shared" si="10"/>
        <v>420</v>
      </c>
      <c r="I272" s="124">
        <v>1.0332000000000001</v>
      </c>
      <c r="J272" s="124">
        <f t="shared" si="11"/>
        <v>36.162000000000006</v>
      </c>
      <c r="K272" s="44" t="s">
        <v>507</v>
      </c>
      <c r="U272" s="4"/>
    </row>
    <row r="273" spans="1:21" s="3" customFormat="1" ht="16.5" customHeight="1">
      <c r="A273" s="115">
        <v>90642</v>
      </c>
      <c r="B273" s="118" t="s">
        <v>152</v>
      </c>
      <c r="C273" s="118" t="s">
        <v>478</v>
      </c>
      <c r="D273" s="126" t="s">
        <v>438</v>
      </c>
      <c r="E273" s="126" t="s">
        <v>480</v>
      </c>
      <c r="F273" s="121">
        <v>10</v>
      </c>
      <c r="G273" s="118">
        <v>48</v>
      </c>
      <c r="H273" s="119">
        <f t="shared" si="10"/>
        <v>480</v>
      </c>
      <c r="I273" s="124">
        <v>0.882</v>
      </c>
      <c r="J273" s="124">
        <f t="shared" si="11"/>
        <v>42.336</v>
      </c>
      <c r="K273" s="44" t="s">
        <v>507</v>
      </c>
      <c r="U273" s="4"/>
    </row>
    <row r="274" spans="1:21" s="3" customFormat="1" ht="16.5" customHeight="1">
      <c r="A274" s="115">
        <v>90643</v>
      </c>
      <c r="B274" s="118" t="s">
        <v>153</v>
      </c>
      <c r="C274" s="118" t="s">
        <v>478</v>
      </c>
      <c r="D274" s="126" t="s">
        <v>438</v>
      </c>
      <c r="E274" s="126" t="s">
        <v>480</v>
      </c>
      <c r="F274" s="121">
        <v>12</v>
      </c>
      <c r="G274" s="118">
        <v>36</v>
      </c>
      <c r="H274" s="119">
        <f t="shared" si="10"/>
        <v>432</v>
      </c>
      <c r="I274" s="124">
        <v>1.0332000000000001</v>
      </c>
      <c r="J274" s="124">
        <f t="shared" si="11"/>
        <v>37.19520000000001</v>
      </c>
      <c r="K274" s="44" t="s">
        <v>507</v>
      </c>
      <c r="U274" s="4"/>
    </row>
    <row r="275" spans="1:21" s="3" customFormat="1" ht="16.5" customHeight="1">
      <c r="A275" s="115">
        <v>90644</v>
      </c>
      <c r="B275" s="118" t="s">
        <v>154</v>
      </c>
      <c r="C275" s="118" t="s">
        <v>478</v>
      </c>
      <c r="D275" s="126" t="s">
        <v>438</v>
      </c>
      <c r="E275" s="126" t="s">
        <v>488</v>
      </c>
      <c r="F275" s="121">
        <v>15</v>
      </c>
      <c r="G275" s="118">
        <v>46</v>
      </c>
      <c r="H275" s="119">
        <f t="shared" si="10"/>
        <v>690</v>
      </c>
      <c r="I275" s="124">
        <v>1.3104</v>
      </c>
      <c r="J275" s="124">
        <f t="shared" si="11"/>
        <v>60.2784</v>
      </c>
      <c r="K275" s="44" t="s">
        <v>507</v>
      </c>
      <c r="U275" s="4"/>
    </row>
    <row r="276" spans="1:21" s="3" customFormat="1" ht="16.5" customHeight="1">
      <c r="A276" s="115">
        <v>90645</v>
      </c>
      <c r="B276" s="118" t="s">
        <v>155</v>
      </c>
      <c r="C276" s="118" t="s">
        <v>478</v>
      </c>
      <c r="D276" s="126" t="s">
        <v>438</v>
      </c>
      <c r="E276" s="126" t="s">
        <v>488</v>
      </c>
      <c r="F276" s="121">
        <v>14</v>
      </c>
      <c r="G276" s="118">
        <v>43</v>
      </c>
      <c r="H276" s="119">
        <f t="shared" si="10"/>
        <v>602</v>
      </c>
      <c r="I276" s="124">
        <v>1.0584000000000002</v>
      </c>
      <c r="J276" s="124">
        <f t="shared" si="11"/>
        <v>45.51120000000001</v>
      </c>
      <c r="K276" s="44" t="s">
        <v>507</v>
      </c>
      <c r="U276" s="4"/>
    </row>
    <row r="277" spans="1:21" s="3" customFormat="1" ht="16.5" customHeight="1">
      <c r="A277" s="115">
        <v>90646</v>
      </c>
      <c r="B277" s="118" t="s">
        <v>156</v>
      </c>
      <c r="C277" s="118" t="s">
        <v>478</v>
      </c>
      <c r="D277" s="126" t="s">
        <v>438</v>
      </c>
      <c r="E277" s="126" t="s">
        <v>157</v>
      </c>
      <c r="F277" s="121">
        <v>15</v>
      </c>
      <c r="G277" s="118">
        <v>48</v>
      </c>
      <c r="H277" s="119">
        <f t="shared" si="10"/>
        <v>720</v>
      </c>
      <c r="I277" s="124">
        <v>1.3104</v>
      </c>
      <c r="J277" s="124">
        <f t="shared" si="11"/>
        <v>62.8992</v>
      </c>
      <c r="K277" s="44" t="s">
        <v>507</v>
      </c>
      <c r="U277" s="4"/>
    </row>
    <row r="278" spans="1:21" s="3" customFormat="1" ht="16.5" customHeight="1">
      <c r="A278" s="115">
        <v>90647</v>
      </c>
      <c r="B278" s="118" t="s">
        <v>158</v>
      </c>
      <c r="C278" s="118" t="s">
        <v>478</v>
      </c>
      <c r="D278" s="126" t="s">
        <v>438</v>
      </c>
      <c r="E278" s="126" t="s">
        <v>157</v>
      </c>
      <c r="F278" s="121">
        <v>15</v>
      </c>
      <c r="G278" s="118">
        <v>38</v>
      </c>
      <c r="H278" s="119">
        <f t="shared" si="10"/>
        <v>570</v>
      </c>
      <c r="I278" s="124">
        <v>1.3104</v>
      </c>
      <c r="J278" s="124">
        <f t="shared" si="11"/>
        <v>49.7952</v>
      </c>
      <c r="K278" s="44" t="s">
        <v>507</v>
      </c>
      <c r="U278" s="4"/>
    </row>
    <row r="279" spans="1:21" s="3" customFormat="1" ht="16.5" customHeight="1">
      <c r="A279" s="115">
        <v>90648</v>
      </c>
      <c r="B279" s="118" t="s">
        <v>159</v>
      </c>
      <c r="C279" s="118" t="s">
        <v>478</v>
      </c>
      <c r="D279" s="126" t="s">
        <v>438</v>
      </c>
      <c r="E279" s="126" t="s">
        <v>157</v>
      </c>
      <c r="F279" s="121">
        <v>14</v>
      </c>
      <c r="G279" s="118">
        <v>41</v>
      </c>
      <c r="H279" s="119">
        <f t="shared" si="10"/>
        <v>574</v>
      </c>
      <c r="I279" s="124">
        <v>1.0836</v>
      </c>
      <c r="J279" s="124">
        <f t="shared" si="11"/>
        <v>44.4276</v>
      </c>
      <c r="K279" s="44" t="s">
        <v>507</v>
      </c>
      <c r="U279" s="4"/>
    </row>
    <row r="280" spans="1:21" s="3" customFormat="1" ht="16.5" customHeight="1">
      <c r="A280" s="115">
        <v>90650</v>
      </c>
      <c r="B280" s="118" t="s">
        <v>160</v>
      </c>
      <c r="C280" s="118" t="s">
        <v>478</v>
      </c>
      <c r="D280" s="126" t="s">
        <v>438</v>
      </c>
      <c r="E280" s="126" t="s">
        <v>161</v>
      </c>
      <c r="F280" s="121">
        <v>41</v>
      </c>
      <c r="G280" s="118">
        <f>24</f>
        <v>24</v>
      </c>
      <c r="H280" s="119">
        <f t="shared" si="10"/>
        <v>984</v>
      </c>
      <c r="I280" s="124">
        <v>3.6</v>
      </c>
      <c r="J280" s="124">
        <f t="shared" si="11"/>
        <v>86.4</v>
      </c>
      <c r="K280" s="44" t="s">
        <v>507</v>
      </c>
      <c r="U280" s="4"/>
    </row>
    <row r="281" spans="1:21" s="3" customFormat="1" ht="16.5" customHeight="1">
      <c r="A281" s="115">
        <v>90651</v>
      </c>
      <c r="B281" s="118" t="s">
        <v>162</v>
      </c>
      <c r="C281" s="118" t="s">
        <v>478</v>
      </c>
      <c r="D281" s="126" t="s">
        <v>438</v>
      </c>
      <c r="E281" s="126" t="s">
        <v>161</v>
      </c>
      <c r="F281" s="121">
        <v>41</v>
      </c>
      <c r="G281" s="118">
        <f>34</f>
        <v>34</v>
      </c>
      <c r="H281" s="119">
        <f t="shared" si="10"/>
        <v>1394</v>
      </c>
      <c r="I281" s="124">
        <v>3.6</v>
      </c>
      <c r="J281" s="124">
        <f t="shared" si="11"/>
        <v>122.4</v>
      </c>
      <c r="K281" s="44" t="s">
        <v>507</v>
      </c>
      <c r="U281" s="4"/>
    </row>
    <row r="282" spans="1:21" s="3" customFormat="1" ht="16.5" customHeight="1">
      <c r="A282" s="115">
        <v>90652</v>
      </c>
      <c r="B282" s="118" t="s">
        <v>163</v>
      </c>
      <c r="C282" s="118" t="s">
        <v>478</v>
      </c>
      <c r="D282" s="126" t="s">
        <v>438</v>
      </c>
      <c r="E282" s="118" t="s">
        <v>161</v>
      </c>
      <c r="F282" s="121">
        <v>41</v>
      </c>
      <c r="G282" s="118">
        <f>27</f>
        <v>27</v>
      </c>
      <c r="H282" s="119">
        <f t="shared" si="10"/>
        <v>1107</v>
      </c>
      <c r="I282" s="124">
        <v>3.6</v>
      </c>
      <c r="J282" s="124">
        <f t="shared" si="11"/>
        <v>97.2</v>
      </c>
      <c r="K282" s="44" t="s">
        <v>507</v>
      </c>
      <c r="U282" s="4"/>
    </row>
    <row r="283" spans="1:21" s="3" customFormat="1" ht="16.5" customHeight="1">
      <c r="A283" s="115">
        <v>90734</v>
      </c>
      <c r="B283" s="118" t="s">
        <v>164</v>
      </c>
      <c r="C283" s="118" t="s">
        <v>437</v>
      </c>
      <c r="D283" s="118" t="s">
        <v>165</v>
      </c>
      <c r="E283" s="118" t="s">
        <v>143</v>
      </c>
      <c r="F283" s="121">
        <v>19</v>
      </c>
      <c r="G283" s="118">
        <f>19</f>
        <v>19</v>
      </c>
      <c r="H283" s="119">
        <f t="shared" si="10"/>
        <v>361</v>
      </c>
      <c r="I283" s="124">
        <v>1.5624</v>
      </c>
      <c r="J283" s="124">
        <f t="shared" si="11"/>
        <v>29.6856</v>
      </c>
      <c r="K283" s="44" t="s">
        <v>507</v>
      </c>
      <c r="U283" s="4"/>
    </row>
    <row r="284" spans="1:22" ht="16.5" customHeight="1">
      <c r="A284" s="115">
        <v>90735</v>
      </c>
      <c r="B284" s="118" t="s">
        <v>166</v>
      </c>
      <c r="C284" s="118" t="s">
        <v>437</v>
      </c>
      <c r="D284" s="118" t="s">
        <v>165</v>
      </c>
      <c r="E284" s="118" t="s">
        <v>143</v>
      </c>
      <c r="F284" s="121">
        <v>12.5</v>
      </c>
      <c r="G284" s="118">
        <f>2</f>
        <v>2</v>
      </c>
      <c r="H284" s="119">
        <f t="shared" si="10"/>
        <v>25</v>
      </c>
      <c r="I284" s="124">
        <v>1.0332000000000001</v>
      </c>
      <c r="J284" s="124">
        <f t="shared" si="11"/>
        <v>2.0664000000000002</v>
      </c>
      <c r="K284" s="44" t="s">
        <v>507</v>
      </c>
      <c r="U284" s="4"/>
      <c r="V284" s="4"/>
    </row>
    <row r="285" spans="1:22" ht="16.5" customHeight="1">
      <c r="A285" s="115">
        <v>90737</v>
      </c>
      <c r="B285" s="118" t="s">
        <v>167</v>
      </c>
      <c r="C285" s="118" t="s">
        <v>437</v>
      </c>
      <c r="D285" s="118" t="s">
        <v>165</v>
      </c>
      <c r="E285" s="118" t="s">
        <v>143</v>
      </c>
      <c r="F285" s="121">
        <v>21</v>
      </c>
      <c r="G285" s="118">
        <f>4</f>
        <v>4</v>
      </c>
      <c r="H285" s="119">
        <f aca="true" t="shared" si="12" ref="H285:H292">G285*F285</f>
        <v>84</v>
      </c>
      <c r="I285" s="124">
        <v>1.7388</v>
      </c>
      <c r="J285" s="124">
        <f aca="true" t="shared" si="13" ref="J285:J292">G285*I285</f>
        <v>6.9552</v>
      </c>
      <c r="K285" s="44" t="s">
        <v>507</v>
      </c>
      <c r="U285" s="4"/>
      <c r="V285" s="4"/>
    </row>
    <row r="286" spans="1:22" ht="16.5" customHeight="1">
      <c r="A286" s="115">
        <v>90742</v>
      </c>
      <c r="B286" s="118" t="s">
        <v>170</v>
      </c>
      <c r="C286" s="118" t="s">
        <v>478</v>
      </c>
      <c r="D286" s="118" t="s">
        <v>438</v>
      </c>
      <c r="E286" s="118" t="s">
        <v>484</v>
      </c>
      <c r="F286" s="121">
        <v>24.5</v>
      </c>
      <c r="G286" s="118">
        <f>6</f>
        <v>6</v>
      </c>
      <c r="H286" s="119">
        <f t="shared" si="12"/>
        <v>147</v>
      </c>
      <c r="I286" s="124">
        <v>2.0412</v>
      </c>
      <c r="J286" s="124">
        <f t="shared" si="13"/>
        <v>12.2472</v>
      </c>
      <c r="K286" s="44" t="s">
        <v>507</v>
      </c>
      <c r="U286" s="4"/>
      <c r="V286" s="4"/>
    </row>
    <row r="287" spans="1:20" s="128" customFormat="1" ht="16.5" customHeight="1">
      <c r="A287" s="115">
        <v>90774</v>
      </c>
      <c r="B287" s="126" t="s">
        <v>171</v>
      </c>
      <c r="C287" s="118" t="s">
        <v>437</v>
      </c>
      <c r="D287" s="118" t="s">
        <v>450</v>
      </c>
      <c r="E287" s="118" t="s">
        <v>476</v>
      </c>
      <c r="F287" s="121">
        <v>18</v>
      </c>
      <c r="G287" s="118">
        <v>7</v>
      </c>
      <c r="H287" s="119">
        <f t="shared" si="12"/>
        <v>126</v>
      </c>
      <c r="I287" s="124">
        <v>1.566</v>
      </c>
      <c r="J287" s="124">
        <f t="shared" si="13"/>
        <v>10.962</v>
      </c>
      <c r="K287" s="44" t="s">
        <v>507</v>
      </c>
      <c r="L287" s="127"/>
      <c r="M287" s="127"/>
      <c r="N287" s="127"/>
      <c r="O287" s="127"/>
      <c r="P287" s="127"/>
      <c r="Q287" s="127"/>
      <c r="R287" s="127"/>
      <c r="S287" s="127"/>
      <c r="T287" s="127"/>
    </row>
    <row r="288" spans="1:22" ht="16.5" customHeight="1">
      <c r="A288" s="115">
        <v>90785</v>
      </c>
      <c r="B288" s="118" t="s">
        <v>175</v>
      </c>
      <c r="C288" s="118" t="s">
        <v>437</v>
      </c>
      <c r="D288" s="118" t="s">
        <v>450</v>
      </c>
      <c r="E288" s="118" t="s">
        <v>174</v>
      </c>
      <c r="F288" s="121">
        <v>2.4</v>
      </c>
      <c r="G288" s="118">
        <v>69</v>
      </c>
      <c r="H288" s="119">
        <f t="shared" si="12"/>
        <v>165.6</v>
      </c>
      <c r="I288" s="124">
        <v>0.20160000000000003</v>
      </c>
      <c r="J288" s="124">
        <f t="shared" si="13"/>
        <v>13.910400000000003</v>
      </c>
      <c r="K288" s="44" t="s">
        <v>507</v>
      </c>
      <c r="U288" s="4"/>
      <c r="V288" s="4"/>
    </row>
    <row r="289" spans="1:22" ht="16.5" customHeight="1">
      <c r="A289" s="115">
        <v>90786</v>
      </c>
      <c r="B289" s="126" t="s">
        <v>176</v>
      </c>
      <c r="C289" s="118" t="s">
        <v>437</v>
      </c>
      <c r="D289" s="118" t="s">
        <v>450</v>
      </c>
      <c r="E289" s="118" t="s">
        <v>177</v>
      </c>
      <c r="F289" s="121">
        <v>7.1</v>
      </c>
      <c r="G289" s="118">
        <f>167</f>
        <v>167</v>
      </c>
      <c r="H289" s="119">
        <f t="shared" si="12"/>
        <v>1185.7</v>
      </c>
      <c r="I289" s="124">
        <v>0.5544</v>
      </c>
      <c r="J289" s="124">
        <f t="shared" si="13"/>
        <v>92.5848</v>
      </c>
      <c r="K289" s="44" t="s">
        <v>507</v>
      </c>
      <c r="U289" s="4"/>
      <c r="V289" s="4"/>
    </row>
    <row r="290" spans="1:22" ht="16.5" customHeight="1">
      <c r="A290" s="115">
        <v>90787</v>
      </c>
      <c r="B290" s="118" t="s">
        <v>178</v>
      </c>
      <c r="C290" s="118" t="s">
        <v>437</v>
      </c>
      <c r="D290" s="118" t="s">
        <v>450</v>
      </c>
      <c r="E290" s="118" t="s">
        <v>177</v>
      </c>
      <c r="F290" s="121">
        <v>7.1</v>
      </c>
      <c r="G290" s="118">
        <v>20</v>
      </c>
      <c r="H290" s="119">
        <f t="shared" si="12"/>
        <v>142</v>
      </c>
      <c r="I290" s="124">
        <v>0.5544</v>
      </c>
      <c r="J290" s="124">
        <f t="shared" si="13"/>
        <v>11.088000000000001</v>
      </c>
      <c r="K290" s="44" t="s">
        <v>507</v>
      </c>
      <c r="U290" s="4"/>
      <c r="V290" s="4"/>
    </row>
    <row r="291" spans="1:22" ht="16.5" customHeight="1">
      <c r="A291" s="115">
        <v>90808</v>
      </c>
      <c r="B291" s="118" t="s">
        <v>179</v>
      </c>
      <c r="C291" s="118" t="s">
        <v>109</v>
      </c>
      <c r="D291" s="118" t="s">
        <v>180</v>
      </c>
      <c r="E291" s="118" t="s">
        <v>111</v>
      </c>
      <c r="F291" s="121">
        <v>33.5</v>
      </c>
      <c r="G291" s="118">
        <v>10</v>
      </c>
      <c r="H291" s="119">
        <f t="shared" si="12"/>
        <v>335</v>
      </c>
      <c r="I291" s="124">
        <v>2.8224</v>
      </c>
      <c r="J291" s="124">
        <f t="shared" si="13"/>
        <v>28.224</v>
      </c>
      <c r="K291" s="44" t="s">
        <v>507</v>
      </c>
      <c r="T291" s="4"/>
      <c r="U291" s="4"/>
      <c r="V291" s="4"/>
    </row>
    <row r="292" spans="1:22" ht="16.5" customHeight="1" thickBot="1">
      <c r="A292" s="115">
        <v>90817</v>
      </c>
      <c r="B292" s="126" t="s">
        <v>412</v>
      </c>
      <c r="C292" s="118" t="s">
        <v>109</v>
      </c>
      <c r="D292" s="118" t="s">
        <v>110</v>
      </c>
      <c r="E292" s="118" t="s">
        <v>111</v>
      </c>
      <c r="F292" s="121">
        <v>21.9</v>
      </c>
      <c r="G292" s="118">
        <f>25-2</f>
        <v>23</v>
      </c>
      <c r="H292" s="119">
        <f t="shared" si="12"/>
        <v>503.7</v>
      </c>
      <c r="I292" s="124">
        <v>1.7892</v>
      </c>
      <c r="J292" s="161">
        <f t="shared" si="13"/>
        <v>41.151599999999995</v>
      </c>
      <c r="K292" s="44" t="s">
        <v>507</v>
      </c>
      <c r="T292" s="4"/>
      <c r="U292" s="4"/>
      <c r="V292" s="4"/>
    </row>
    <row r="293" spans="1:22" ht="20.25" customHeight="1" thickBot="1" thickTop="1">
      <c r="A293" s="220" t="s">
        <v>182</v>
      </c>
      <c r="B293" s="221"/>
      <c r="C293" s="221"/>
      <c r="D293" s="41"/>
      <c r="E293" s="41"/>
      <c r="F293" s="41"/>
      <c r="G293" s="41"/>
      <c r="H293" s="41"/>
      <c r="I293" s="42"/>
      <c r="J293" s="163">
        <f>SUM(J222:J292)</f>
        <v>4701.967199999997</v>
      </c>
      <c r="K293" s="44"/>
      <c r="T293" s="4"/>
      <c r="U293" s="4"/>
      <c r="V293" s="4"/>
    </row>
    <row r="294" spans="1:20" s="80" customFormat="1" ht="20.25" customHeight="1" thickTop="1">
      <c r="A294" s="256" t="s">
        <v>183</v>
      </c>
      <c r="B294" s="257"/>
      <c r="C294" s="257"/>
      <c r="D294" s="257"/>
      <c r="E294" s="257"/>
      <c r="F294" s="257"/>
      <c r="G294" s="257"/>
      <c r="H294" s="257"/>
      <c r="I294" s="257"/>
      <c r="J294" s="257"/>
      <c r="K294" s="182"/>
      <c r="L294" s="162"/>
      <c r="M294" s="162"/>
      <c r="N294" s="155"/>
      <c r="O294" s="79"/>
      <c r="P294" s="79"/>
      <c r="Q294" s="79"/>
      <c r="R294" s="79"/>
      <c r="S294" s="79"/>
      <c r="T294" s="79"/>
    </row>
    <row r="295" spans="1:21" s="80" customFormat="1" ht="24" customHeight="1" thickBot="1">
      <c r="A295" s="256" t="s">
        <v>184</v>
      </c>
      <c r="B295" s="258"/>
      <c r="C295" s="258"/>
      <c r="D295" s="258"/>
      <c r="E295" s="258"/>
      <c r="F295" s="258"/>
      <c r="G295" s="258"/>
      <c r="H295" s="258"/>
      <c r="I295" s="258"/>
      <c r="J295" s="258"/>
      <c r="K295" s="258"/>
      <c r="L295" s="258"/>
      <c r="M295" s="185"/>
      <c r="N295" s="156"/>
      <c r="O295" s="79"/>
      <c r="P295" s="79"/>
      <c r="Q295" s="79"/>
      <c r="R295" s="79"/>
      <c r="S295" s="79"/>
      <c r="T295" s="79"/>
      <c r="U295" s="79"/>
    </row>
    <row r="296" spans="1:22" ht="33.75" customHeight="1">
      <c r="A296" s="211" t="s">
        <v>185</v>
      </c>
      <c r="B296" s="212"/>
      <c r="C296" s="59"/>
      <c r="D296" s="59"/>
      <c r="E296" s="59"/>
      <c r="F296" s="108" t="s">
        <v>186</v>
      </c>
      <c r="G296" s="108" t="s">
        <v>187</v>
      </c>
      <c r="H296" s="108" t="s">
        <v>188</v>
      </c>
      <c r="I296" s="129" t="s">
        <v>9</v>
      </c>
      <c r="J296" s="129"/>
      <c r="K296" s="129"/>
      <c r="L296" s="186"/>
      <c r="M296" s="236"/>
      <c r="U296" s="4"/>
      <c r="V296" s="4"/>
    </row>
    <row r="297" spans="1:22" ht="16.5" customHeight="1">
      <c r="A297" s="242" t="s">
        <v>189</v>
      </c>
      <c r="B297" s="243"/>
      <c r="C297" s="59"/>
      <c r="D297" s="59"/>
      <c r="E297" s="59"/>
      <c r="F297" s="131">
        <f>1100-1</f>
        <v>1099</v>
      </c>
      <c r="G297" s="130" t="s">
        <v>502</v>
      </c>
      <c r="H297" s="124">
        <v>0.18</v>
      </c>
      <c r="I297" s="109">
        <f aca="true" t="shared" si="14" ref="I297:I315">F297*H297</f>
        <v>197.82</v>
      </c>
      <c r="J297" s="109"/>
      <c r="K297" s="107"/>
      <c r="L297" s="187"/>
      <c r="M297" s="237"/>
      <c r="U297" s="4"/>
      <c r="V297" s="4"/>
    </row>
    <row r="298" spans="1:22" ht="16.5" customHeight="1">
      <c r="A298" s="242" t="s">
        <v>191</v>
      </c>
      <c r="B298" s="243"/>
      <c r="C298" s="59"/>
      <c r="D298" s="59"/>
      <c r="E298" s="59"/>
      <c r="F298" s="131">
        <f>1545-1-2</f>
        <v>1542</v>
      </c>
      <c r="G298" s="130" t="s">
        <v>502</v>
      </c>
      <c r="H298" s="124">
        <v>0.18</v>
      </c>
      <c r="I298" s="109">
        <f t="shared" si="14"/>
        <v>277.56</v>
      </c>
      <c r="J298" s="109"/>
      <c r="K298" s="107"/>
      <c r="L298" s="188"/>
      <c r="M298" s="238"/>
      <c r="U298" s="4"/>
      <c r="V298" s="4"/>
    </row>
    <row r="299" spans="1:22" ht="16.5" customHeight="1">
      <c r="A299" s="242" t="s">
        <v>192</v>
      </c>
      <c r="B299" s="243"/>
      <c r="C299" s="59"/>
      <c r="D299" s="59"/>
      <c r="E299" s="59"/>
      <c r="F299" s="131">
        <f>4000-1</f>
        <v>3999</v>
      </c>
      <c r="G299" s="130" t="s">
        <v>502</v>
      </c>
      <c r="H299" s="124">
        <v>0.18</v>
      </c>
      <c r="I299" s="109">
        <f t="shared" si="14"/>
        <v>719.8199999999999</v>
      </c>
      <c r="J299" s="109"/>
      <c r="K299" s="107"/>
      <c r="L299" s="187"/>
      <c r="M299" s="239"/>
      <c r="U299" s="4"/>
      <c r="V299" s="4"/>
    </row>
    <row r="300" spans="1:22" ht="16.5" customHeight="1">
      <c r="A300" s="241" t="s">
        <v>193</v>
      </c>
      <c r="B300" s="198"/>
      <c r="C300" s="59"/>
      <c r="D300" s="59"/>
      <c r="E300" s="59"/>
      <c r="F300" s="111">
        <f>494-10-2-34</f>
        <v>448</v>
      </c>
      <c r="G300" s="130" t="s">
        <v>502</v>
      </c>
      <c r="H300" s="124">
        <v>0.18</v>
      </c>
      <c r="I300" s="109">
        <f t="shared" si="14"/>
        <v>80.64</v>
      </c>
      <c r="J300" s="109"/>
      <c r="K300" s="107"/>
      <c r="L300" s="189"/>
      <c r="M300" s="44"/>
      <c r="U300" s="4"/>
      <c r="V300" s="4"/>
    </row>
    <row r="301" spans="1:22" ht="16.5" customHeight="1">
      <c r="A301" s="242" t="s">
        <v>194</v>
      </c>
      <c r="B301" s="243"/>
      <c r="C301" s="59"/>
      <c r="D301" s="59"/>
      <c r="E301" s="59"/>
      <c r="F301" s="111">
        <v>400</v>
      </c>
      <c r="G301" s="130" t="s">
        <v>502</v>
      </c>
      <c r="H301" s="124">
        <v>0.23</v>
      </c>
      <c r="I301" s="109">
        <f t="shared" si="14"/>
        <v>92</v>
      </c>
      <c r="J301" s="109"/>
      <c r="K301" s="107"/>
      <c r="L301" s="189"/>
      <c r="M301" s="44"/>
      <c r="U301" s="4"/>
      <c r="V301" s="4"/>
    </row>
    <row r="302" spans="1:22" ht="16.5" customHeight="1">
      <c r="A302" s="242" t="s">
        <v>195</v>
      </c>
      <c r="B302" s="243"/>
      <c r="C302" s="59"/>
      <c r="D302" s="59"/>
      <c r="E302" s="59"/>
      <c r="F302" s="111">
        <v>750</v>
      </c>
      <c r="G302" s="130" t="s">
        <v>502</v>
      </c>
      <c r="H302" s="124">
        <v>0.25</v>
      </c>
      <c r="I302" s="109">
        <f t="shared" si="14"/>
        <v>187.5</v>
      </c>
      <c r="J302" s="109"/>
      <c r="K302" s="107"/>
      <c r="L302" s="189"/>
      <c r="M302" s="44"/>
      <c r="U302" s="4"/>
      <c r="V302" s="4"/>
    </row>
    <row r="303" spans="1:22" ht="16.5" customHeight="1">
      <c r="A303" s="241" t="s">
        <v>196</v>
      </c>
      <c r="B303" s="198"/>
      <c r="C303" s="59"/>
      <c r="D303" s="59"/>
      <c r="E303" s="59"/>
      <c r="F303" s="111">
        <f>240-2</f>
        <v>238</v>
      </c>
      <c r="G303" s="130" t="s">
        <v>502</v>
      </c>
      <c r="H303" s="124">
        <v>0.25</v>
      </c>
      <c r="I303" s="109">
        <f t="shared" si="14"/>
        <v>59.5</v>
      </c>
      <c r="J303" s="109"/>
      <c r="K303" s="107"/>
      <c r="L303" s="189"/>
      <c r="M303" s="44"/>
      <c r="U303" s="4"/>
      <c r="V303" s="4"/>
    </row>
    <row r="304" spans="1:22" ht="16.5" customHeight="1">
      <c r="A304" s="242" t="s">
        <v>197</v>
      </c>
      <c r="B304" s="243"/>
      <c r="C304" s="59"/>
      <c r="D304" s="59"/>
      <c r="E304" s="59"/>
      <c r="F304" s="111">
        <v>38</v>
      </c>
      <c r="G304" s="130" t="s">
        <v>502</v>
      </c>
      <c r="H304" s="124">
        <v>0.25</v>
      </c>
      <c r="I304" s="109">
        <f t="shared" si="14"/>
        <v>9.5</v>
      </c>
      <c r="J304" s="109"/>
      <c r="K304" s="107"/>
      <c r="L304" s="189"/>
      <c r="M304" s="44"/>
      <c r="U304" s="4"/>
      <c r="V304" s="4"/>
    </row>
    <row r="305" spans="1:22" ht="16.5" customHeight="1">
      <c r="A305" s="242" t="s">
        <v>198</v>
      </c>
      <c r="B305" s="243"/>
      <c r="C305" s="59"/>
      <c r="D305" s="59"/>
      <c r="E305" s="59"/>
      <c r="F305" s="111">
        <v>109</v>
      </c>
      <c r="G305" s="130" t="s">
        <v>502</v>
      </c>
      <c r="H305" s="124">
        <v>0.25</v>
      </c>
      <c r="I305" s="109">
        <f t="shared" si="14"/>
        <v>27.25</v>
      </c>
      <c r="J305" s="109"/>
      <c r="K305" s="107"/>
      <c r="L305" s="189"/>
      <c r="M305" s="44"/>
      <c r="U305" s="4"/>
      <c r="V305" s="4"/>
    </row>
    <row r="306" spans="1:22" ht="16.5" customHeight="1">
      <c r="A306" s="242" t="s">
        <v>199</v>
      </c>
      <c r="B306" s="243"/>
      <c r="C306" s="59"/>
      <c r="D306" s="59"/>
      <c r="E306" s="59"/>
      <c r="F306" s="111">
        <v>32</v>
      </c>
      <c r="G306" s="130" t="s">
        <v>502</v>
      </c>
      <c r="H306" s="124">
        <v>0.25</v>
      </c>
      <c r="I306" s="109">
        <f t="shared" si="14"/>
        <v>8</v>
      </c>
      <c r="J306" s="109"/>
      <c r="K306" s="107"/>
      <c r="L306" s="189"/>
      <c r="M306" s="44"/>
      <c r="U306" s="4"/>
      <c r="V306" s="4"/>
    </row>
    <row r="307" spans="1:22" ht="16.5" customHeight="1">
      <c r="A307" s="242" t="s">
        <v>200</v>
      </c>
      <c r="B307" s="243"/>
      <c r="C307" s="59"/>
      <c r="D307" s="59"/>
      <c r="E307" s="59"/>
      <c r="F307" s="111">
        <v>34</v>
      </c>
      <c r="G307" s="130" t="s">
        <v>502</v>
      </c>
      <c r="H307" s="124">
        <v>0.09</v>
      </c>
      <c r="I307" s="109">
        <f t="shared" si="14"/>
        <v>3.06</v>
      </c>
      <c r="J307" s="109"/>
      <c r="K307" s="107"/>
      <c r="L307" s="189"/>
      <c r="M307" s="44"/>
      <c r="U307" s="4"/>
      <c r="V307" s="4"/>
    </row>
    <row r="308" spans="1:22" ht="16.5" customHeight="1">
      <c r="A308" s="242" t="s">
        <v>201</v>
      </c>
      <c r="B308" s="243"/>
      <c r="C308" s="59"/>
      <c r="D308" s="59"/>
      <c r="E308" s="59"/>
      <c r="F308" s="111">
        <f>450-2</f>
        <v>448</v>
      </c>
      <c r="G308" s="130" t="s">
        <v>502</v>
      </c>
      <c r="H308" s="124">
        <v>0.27</v>
      </c>
      <c r="I308" s="109">
        <f t="shared" si="14"/>
        <v>120.96000000000001</v>
      </c>
      <c r="J308" s="109"/>
      <c r="K308" s="107"/>
      <c r="L308" s="189"/>
      <c r="M308" s="44"/>
      <c r="U308" s="4"/>
      <c r="V308" s="4"/>
    </row>
    <row r="309" spans="1:22" ht="16.5" customHeight="1">
      <c r="A309" s="242" t="s">
        <v>202</v>
      </c>
      <c r="B309" s="243"/>
      <c r="C309" s="108"/>
      <c r="D309" s="108"/>
      <c r="E309" s="108"/>
      <c r="F309" s="130">
        <v>200</v>
      </c>
      <c r="G309" s="130" t="s">
        <v>502</v>
      </c>
      <c r="H309" s="124">
        <v>0.27</v>
      </c>
      <c r="I309" s="109">
        <f t="shared" si="14"/>
        <v>54</v>
      </c>
      <c r="J309" s="109"/>
      <c r="K309" s="132"/>
      <c r="L309" s="190"/>
      <c r="M309" s="44"/>
      <c r="U309" s="4"/>
      <c r="V309" s="4"/>
    </row>
    <row r="310" spans="1:22" ht="16.5" customHeight="1">
      <c r="A310" s="242" t="s">
        <v>203</v>
      </c>
      <c r="B310" s="243"/>
      <c r="C310" s="108"/>
      <c r="D310" s="108"/>
      <c r="E310" s="108"/>
      <c r="F310" s="130">
        <v>200</v>
      </c>
      <c r="G310" s="130" t="s">
        <v>502</v>
      </c>
      <c r="H310" s="124">
        <v>0.27</v>
      </c>
      <c r="I310" s="109">
        <f t="shared" si="14"/>
        <v>54</v>
      </c>
      <c r="J310" s="109"/>
      <c r="K310" s="132"/>
      <c r="L310" s="190"/>
      <c r="M310" s="44"/>
      <c r="U310" s="4"/>
      <c r="V310" s="4"/>
    </row>
    <row r="311" spans="1:22" ht="16.5" customHeight="1">
      <c r="A311" s="242" t="s">
        <v>204</v>
      </c>
      <c r="B311" s="243"/>
      <c r="C311" s="108"/>
      <c r="D311" s="108"/>
      <c r="E311" s="108"/>
      <c r="F311" s="130">
        <v>80</v>
      </c>
      <c r="G311" s="130" t="s">
        <v>502</v>
      </c>
      <c r="H311" s="124">
        <v>0.09</v>
      </c>
      <c r="I311" s="109">
        <f t="shared" si="14"/>
        <v>7.199999999999999</v>
      </c>
      <c r="J311" s="109"/>
      <c r="K311" s="132"/>
      <c r="L311" s="190"/>
      <c r="M311" s="44"/>
      <c r="U311" s="4"/>
      <c r="V311" s="4"/>
    </row>
    <row r="312" spans="1:22" ht="16.5" customHeight="1">
      <c r="A312" s="241" t="s">
        <v>205</v>
      </c>
      <c r="B312" s="198"/>
      <c r="C312" s="59"/>
      <c r="D312" s="59"/>
      <c r="E312" s="59"/>
      <c r="F312" s="131">
        <v>2500</v>
      </c>
      <c r="G312" s="130" t="s">
        <v>502</v>
      </c>
      <c r="H312" s="124">
        <v>0.09</v>
      </c>
      <c r="I312" s="109">
        <f t="shared" si="14"/>
        <v>225</v>
      </c>
      <c r="J312" s="109"/>
      <c r="K312" s="107"/>
      <c r="L312" s="189"/>
      <c r="M312" s="44"/>
      <c r="U312" s="4"/>
      <c r="V312" s="4"/>
    </row>
    <row r="313" spans="1:22" ht="16.5" customHeight="1">
      <c r="A313" s="242" t="s">
        <v>206</v>
      </c>
      <c r="B313" s="243"/>
      <c r="C313" s="59"/>
      <c r="D313" s="59"/>
      <c r="E313" s="59"/>
      <c r="F313" s="111">
        <f>390-15-20-60-30-250-1</f>
        <v>14</v>
      </c>
      <c r="G313" s="130" t="s">
        <v>502</v>
      </c>
      <c r="H313" s="124">
        <v>0.09</v>
      </c>
      <c r="I313" s="109">
        <f t="shared" si="14"/>
        <v>1.26</v>
      </c>
      <c r="J313" s="109"/>
      <c r="K313" s="107"/>
      <c r="L313" s="189"/>
      <c r="M313" s="44"/>
      <c r="U313" s="4"/>
      <c r="V313" s="4"/>
    </row>
    <row r="314" spans="1:22" ht="16.5" customHeight="1">
      <c r="A314" s="242" t="s">
        <v>207</v>
      </c>
      <c r="B314" s="243"/>
      <c r="C314" s="59"/>
      <c r="D314" s="59"/>
      <c r="E314" s="59"/>
      <c r="F314" s="111">
        <f>376-1</f>
        <v>375</v>
      </c>
      <c r="G314" s="130" t="s">
        <v>502</v>
      </c>
      <c r="H314" s="124">
        <v>0.09</v>
      </c>
      <c r="I314" s="109">
        <f t="shared" si="14"/>
        <v>33.75</v>
      </c>
      <c r="J314" s="109"/>
      <c r="K314" s="107"/>
      <c r="L314" s="189"/>
      <c r="M314" s="44"/>
      <c r="V314" s="4"/>
    </row>
    <row r="315" spans="1:22" ht="16.5" customHeight="1">
      <c r="A315" s="241" t="s">
        <v>208</v>
      </c>
      <c r="B315" s="198"/>
      <c r="C315" s="59"/>
      <c r="D315" s="59"/>
      <c r="E315" s="59"/>
      <c r="F315" s="111">
        <v>840</v>
      </c>
      <c r="G315" s="130" t="s">
        <v>502</v>
      </c>
      <c r="H315" s="124">
        <v>0.09</v>
      </c>
      <c r="I315" s="109">
        <f t="shared" si="14"/>
        <v>75.6</v>
      </c>
      <c r="J315" s="109"/>
      <c r="K315" s="107"/>
      <c r="L315" s="189"/>
      <c r="M315" s="44"/>
      <c r="V315" s="4"/>
    </row>
    <row r="316" spans="1:14" ht="25.5" customHeight="1" thickBot="1">
      <c r="A316" s="245" t="s">
        <v>503</v>
      </c>
      <c r="B316" s="246"/>
      <c r="C316" s="72"/>
      <c r="D316" s="72"/>
      <c r="E316" s="72"/>
      <c r="F316" s="158">
        <f>SUM(F297:F315)</f>
        <v>13346</v>
      </c>
      <c r="G316" s="159"/>
      <c r="H316" s="160"/>
      <c r="I316" s="192">
        <f>SUM(I297:I315)</f>
        <v>2234.42</v>
      </c>
      <c r="J316" s="165"/>
      <c r="K316" s="165"/>
      <c r="L316" s="43"/>
      <c r="M316" s="184"/>
      <c r="N316" s="125"/>
    </row>
    <row r="317" spans="1:14" ht="23.25" customHeight="1" thickBot="1" thickTop="1">
      <c r="A317" s="247" t="s">
        <v>508</v>
      </c>
      <c r="B317" s="248"/>
      <c r="C317" s="248"/>
      <c r="D317" s="248"/>
      <c r="E317" s="248"/>
      <c r="F317" s="248"/>
      <c r="G317" s="248"/>
      <c r="H317" s="249"/>
      <c r="I317" s="194">
        <f>I316+J293+J219</f>
        <v>10439.895239999996</v>
      </c>
      <c r="J317" s="164"/>
      <c r="K317" s="164"/>
      <c r="M317" s="191"/>
      <c r="N317" s="142"/>
    </row>
    <row r="318" spans="1:23" s="3" customFormat="1" ht="16.5" customHeight="1">
      <c r="A318" s="143"/>
      <c r="C318" s="144"/>
      <c r="E318" s="135"/>
      <c r="F318" s="144"/>
      <c r="G318" s="135"/>
      <c r="N318" s="145"/>
      <c r="W318" s="4"/>
    </row>
    <row r="319" spans="1:23" s="3" customFormat="1" ht="15.75">
      <c r="A319" s="250"/>
      <c r="B319" s="146"/>
      <c r="C319" s="146"/>
      <c r="D319" s="146"/>
      <c r="E319" s="146"/>
      <c r="F319" s="144"/>
      <c r="G319" s="135"/>
      <c r="N319" s="145"/>
      <c r="W319" s="4"/>
    </row>
    <row r="320" spans="1:23" s="3" customFormat="1" ht="33" customHeight="1" thickBot="1">
      <c r="A320" s="250"/>
      <c r="B320" s="167"/>
      <c r="C320" s="146"/>
      <c r="D320" s="146"/>
      <c r="E320" s="146"/>
      <c r="F320" s="144"/>
      <c r="G320" s="135"/>
      <c r="I320" s="195" t="s">
        <v>523</v>
      </c>
      <c r="J320" s="196">
        <f>F7+J219+J293+I316</f>
        <v>11339.895239999996</v>
      </c>
      <c r="K320" s="166"/>
      <c r="N320" s="145"/>
      <c r="W320" s="4"/>
    </row>
    <row r="321" spans="1:14" ht="16.5" customHeight="1">
      <c r="A321" s="250"/>
      <c r="B321" s="146"/>
      <c r="C321" s="146"/>
      <c r="D321" s="146"/>
      <c r="E321" s="146"/>
      <c r="F321" s="144"/>
      <c r="N321" s="145"/>
    </row>
    <row r="322" spans="1:14" ht="16.5" customHeight="1">
      <c r="A322" s="154"/>
      <c r="B322" s="168"/>
      <c r="C322" s="144"/>
      <c r="D322" s="3"/>
      <c r="E322" s="135"/>
      <c r="F322" s="144"/>
      <c r="N322" s="145"/>
    </row>
    <row r="323" spans="1:14" ht="16.5" customHeight="1">
      <c r="A323" s="143"/>
      <c r="B323" s="3"/>
      <c r="C323" s="144"/>
      <c r="D323" s="3"/>
      <c r="E323" s="135"/>
      <c r="F323" s="144"/>
      <c r="N323" s="145"/>
    </row>
    <row r="324" spans="1:14" ht="16.5" customHeight="1">
      <c r="A324" s="154"/>
      <c r="B324" s="168"/>
      <c r="C324" s="144"/>
      <c r="D324" s="3"/>
      <c r="E324" s="135"/>
      <c r="F324" s="144"/>
      <c r="N324" s="145"/>
    </row>
    <row r="325" spans="1:14" ht="16.5" customHeight="1">
      <c r="A325" s="143"/>
      <c r="B325" s="3"/>
      <c r="C325" s="136"/>
      <c r="D325" s="3"/>
      <c r="E325" s="147"/>
      <c r="F325" s="147"/>
      <c r="G325" s="244"/>
      <c r="H325" s="244"/>
      <c r="I325" s="136"/>
      <c r="N325" s="145"/>
    </row>
    <row r="326" spans="1:14" ht="16.5" customHeight="1">
      <c r="A326" s="143"/>
      <c r="B326" s="3"/>
      <c r="C326" s="144"/>
      <c r="D326" s="3"/>
      <c r="E326" s="135"/>
      <c r="F326" s="144"/>
      <c r="N326" s="145"/>
    </row>
    <row r="327" spans="1:14" ht="16.5" customHeight="1">
      <c r="A327" s="154"/>
      <c r="B327" s="168"/>
      <c r="C327" s="144"/>
      <c r="D327" s="3"/>
      <c r="E327" s="135"/>
      <c r="F327" s="144"/>
      <c r="N327" s="145"/>
    </row>
    <row r="328" spans="1:14" ht="16.5" customHeight="1">
      <c r="A328" s="143"/>
      <c r="B328" s="3"/>
      <c r="C328" s="144"/>
      <c r="D328" s="3"/>
      <c r="E328" s="135"/>
      <c r="F328" s="144"/>
      <c r="N328" s="145"/>
    </row>
    <row r="329" spans="1:14" ht="16.5" customHeight="1">
      <c r="A329" s="143"/>
      <c r="B329" s="3"/>
      <c r="C329" s="144"/>
      <c r="D329" s="3"/>
      <c r="E329" s="135"/>
      <c r="F329" s="144"/>
      <c r="N329" s="145"/>
    </row>
    <row r="330" spans="1:14" ht="16.5" customHeight="1">
      <c r="A330" s="143"/>
      <c r="B330" s="3"/>
      <c r="C330" s="144"/>
      <c r="D330" s="3"/>
      <c r="E330" s="135"/>
      <c r="F330" s="144"/>
      <c r="N330" s="145"/>
    </row>
    <row r="331" spans="1:14" ht="16.5" customHeight="1" thickBot="1">
      <c r="A331" s="148"/>
      <c r="B331" s="149"/>
      <c r="C331" s="149"/>
      <c r="D331" s="150"/>
      <c r="E331" s="151"/>
      <c r="F331" s="152"/>
      <c r="G331" s="240"/>
      <c r="H331" s="240"/>
      <c r="I331" s="149"/>
      <c r="J331" s="150"/>
      <c r="K331" s="150"/>
      <c r="L331" s="150"/>
      <c r="M331" s="150"/>
      <c r="N331" s="153"/>
    </row>
  </sheetData>
  <sheetProtection/>
  <mergeCells count="37">
    <mergeCell ref="A1:N1"/>
    <mergeCell ref="A2:N2"/>
    <mergeCell ref="A219:C219"/>
    <mergeCell ref="K9:K10"/>
    <mergeCell ref="A3:J3"/>
    <mergeCell ref="A220:N220"/>
    <mergeCell ref="A293:C293"/>
    <mergeCell ref="A294:J294"/>
    <mergeCell ref="A295:L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G325:H325"/>
    <mergeCell ref="A315:B315"/>
    <mergeCell ref="A316:B316"/>
    <mergeCell ref="A317:H317"/>
    <mergeCell ref="A319:A321"/>
    <mergeCell ref="M296:M297"/>
    <mergeCell ref="K222:K223"/>
    <mergeCell ref="M298:M299"/>
    <mergeCell ref="G331:H331"/>
  </mergeCells>
  <printOptions horizontalCentered="1"/>
  <pageMargins left="0.15748031496062992" right="0.15748031496062992" top="0.2362204724409449" bottom="0.1968503937007874" header="0.1968503937007874" footer="0.1968503937007874"/>
  <pageSetup horizontalDpi="600" verticalDpi="600" orientation="landscape" paperSize="9" scale="55" r:id="rId1"/>
  <headerFooter alignWithMargins="0">
    <oddFooter>&amp;CPage &amp;P of &amp;N</oddFooter>
  </headerFooter>
  <rowBreaks count="1" manualBreakCount="1">
    <brk id="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nzarkali</dc:creator>
  <cp:keywords/>
  <dc:description/>
  <cp:lastModifiedBy>Administrator</cp:lastModifiedBy>
  <cp:lastPrinted>2019-09-12T11:01:41Z</cp:lastPrinted>
  <dcterms:created xsi:type="dcterms:W3CDTF">2008-05-19T10:10:23Z</dcterms:created>
  <dcterms:modified xsi:type="dcterms:W3CDTF">2020-06-01T10:07:15Z</dcterms:modified>
  <cp:category/>
  <cp:version/>
  <cp:contentType/>
  <cp:contentStatus/>
</cp:coreProperties>
</file>